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hreadedComments/threadedComment2.xml" ContentType="application/vnd.ms-excel.threadedcomments+xml"/>
  <Override PartName="/xl/comments4.xml" ContentType="application/vnd.openxmlformats-officedocument.spreadsheetml.comments+xml"/>
  <Override PartName="/xl/threadedComments/threadedComment3.xml" ContentType="application/vnd.ms-excel.threadedcomment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k/Box Sync/*Work/Research/Publications/Papers_in_progress/Book_chapter-LCA_of_wind/Meta_analysis 2022/"/>
    </mc:Choice>
  </mc:AlternateContent>
  <xr:revisionPtr revIDLastSave="0" documentId="13_ncr:1_{46BECD8B-40BF-F440-8449-88A24F25163C}" xr6:coauthVersionLast="47" xr6:coauthVersionMax="47" xr10:uidLastSave="{00000000-0000-0000-0000-000000000000}"/>
  <bookViews>
    <workbookView xWindow="-5120" yWindow="-21100" windowWidth="38400" windowHeight="21100" activeTab="7" xr2:uid="{046B5EDD-E3D9-1448-911A-177177B7DA9B}"/>
  </bookViews>
  <sheets>
    <sheet name="Data - Kubizweski (2010)" sheetId="4" r:id="rId1"/>
    <sheet name="Data - Dale (2012)" sheetId="6" r:id="rId2"/>
    <sheet name="Data - NREL (2014)" sheetId="7" r:id="rId3"/>
    <sheet name="Data - Carbajales-Dale (2016)" sheetId="8" r:id="rId4"/>
    <sheet name="Data - Mendecka (2019)" sheetId="9" r:id="rId5"/>
    <sheet name="Data - Carbajales-Dale (2022)" sheetId="2" r:id="rId6"/>
    <sheet name="Total_wind_installed_capacity" sheetId="5" r:id="rId7"/>
    <sheet name="All_data" sheetId="10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" i="5" l="1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14" i="5"/>
  <c r="K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2" i="6"/>
  <c r="AN3" i="6"/>
  <c r="AN4" i="6"/>
  <c r="AN5" i="6"/>
  <c r="AN6" i="6"/>
  <c r="AN7" i="6"/>
  <c r="AN8" i="6"/>
  <c r="AN9" i="6"/>
  <c r="AN10" i="6"/>
  <c r="AN11" i="6"/>
  <c r="AN12" i="6"/>
  <c r="AN13" i="6"/>
  <c r="AN14" i="6"/>
  <c r="AN15" i="6"/>
  <c r="AN16" i="6"/>
  <c r="AN17" i="6"/>
  <c r="AN18" i="6"/>
  <c r="AN19" i="6"/>
  <c r="AN20" i="6"/>
  <c r="AN21" i="6"/>
  <c r="AN22" i="6"/>
  <c r="AN23" i="6"/>
  <c r="AN24" i="6"/>
  <c r="AN25" i="6"/>
  <c r="AN26" i="6"/>
  <c r="AN27" i="6"/>
  <c r="AN28" i="6"/>
  <c r="AN29" i="6"/>
  <c r="AN30" i="6"/>
  <c r="AN31" i="6"/>
  <c r="AN32" i="6"/>
  <c r="AN2" i="6"/>
  <c r="AN3" i="7"/>
  <c r="AN4" i="7"/>
  <c r="AN5" i="7"/>
  <c r="AN6" i="7"/>
  <c r="AN7" i="7"/>
  <c r="AN8" i="7"/>
  <c r="AN9" i="7"/>
  <c r="AN10" i="7"/>
  <c r="AN11" i="7"/>
  <c r="AN12" i="7"/>
  <c r="AN13" i="7"/>
  <c r="AN14" i="7"/>
  <c r="AN15" i="7"/>
  <c r="AN16" i="7"/>
  <c r="AN17" i="7"/>
  <c r="AN18" i="7"/>
  <c r="AN19" i="7"/>
  <c r="AN20" i="7"/>
  <c r="AN21" i="7"/>
  <c r="AN22" i="7"/>
  <c r="AN23" i="7"/>
  <c r="AN24" i="7"/>
  <c r="AN25" i="7"/>
  <c r="AN26" i="7"/>
  <c r="AN27" i="7"/>
  <c r="AN28" i="7"/>
  <c r="AN29" i="7"/>
  <c r="AN30" i="7"/>
  <c r="AN31" i="7"/>
  <c r="AN32" i="7"/>
  <c r="AN33" i="7"/>
  <c r="AN34" i="7"/>
  <c r="AN35" i="7"/>
  <c r="AN36" i="7"/>
  <c r="AN37" i="7"/>
  <c r="AN38" i="7"/>
  <c r="AN39" i="7"/>
  <c r="AN40" i="7"/>
  <c r="AN41" i="7"/>
  <c r="AN42" i="7"/>
  <c r="AN43" i="7"/>
  <c r="AN44" i="7"/>
  <c r="AN45" i="7"/>
  <c r="AN46" i="7"/>
  <c r="AN47" i="7"/>
  <c r="AN48" i="7"/>
  <c r="AN49" i="7"/>
  <c r="AN50" i="7"/>
  <c r="AN51" i="7"/>
  <c r="AN52" i="7"/>
  <c r="AN53" i="7"/>
  <c r="AN54" i="7"/>
  <c r="AN55" i="7"/>
  <c r="AN56" i="7"/>
  <c r="AN57" i="7"/>
  <c r="AN58" i="7"/>
  <c r="AN59" i="7"/>
  <c r="AN60" i="7"/>
  <c r="AN61" i="7"/>
  <c r="AN62" i="7"/>
  <c r="AN63" i="7"/>
  <c r="AN64" i="7"/>
  <c r="AN65" i="7"/>
  <c r="AN66" i="7"/>
  <c r="AN67" i="7"/>
  <c r="AN69" i="7"/>
  <c r="AN70" i="7"/>
  <c r="AN71" i="7"/>
  <c r="AN72" i="7"/>
  <c r="AN73" i="7"/>
  <c r="AN74" i="7"/>
  <c r="AN75" i="7"/>
  <c r="AN76" i="7"/>
  <c r="AN77" i="7"/>
  <c r="AN78" i="7"/>
  <c r="AN79" i="7"/>
  <c r="AN80" i="7"/>
  <c r="AN81" i="7"/>
  <c r="AN82" i="7"/>
  <c r="AN83" i="7"/>
  <c r="AN84" i="7"/>
  <c r="AN85" i="7"/>
  <c r="AN86" i="7"/>
  <c r="AN87" i="7"/>
  <c r="AN88" i="7"/>
  <c r="AN89" i="7"/>
  <c r="AN90" i="7"/>
  <c r="AN91" i="7"/>
  <c r="AN92" i="7"/>
  <c r="AN93" i="7"/>
  <c r="AN94" i="7"/>
  <c r="AN95" i="7"/>
  <c r="AN96" i="7"/>
  <c r="AN97" i="7"/>
  <c r="AN98" i="7"/>
  <c r="AN99" i="7"/>
  <c r="AN100" i="7"/>
  <c r="AN101" i="7"/>
  <c r="AN102" i="7"/>
  <c r="AN103" i="7"/>
  <c r="AN104" i="7"/>
  <c r="AN105" i="7"/>
  <c r="AN106" i="7"/>
  <c r="AN107" i="7"/>
  <c r="AN108" i="7"/>
  <c r="AN109" i="7"/>
  <c r="AN110" i="7"/>
  <c r="AN111" i="7"/>
  <c r="AN112" i="7"/>
  <c r="AN113" i="7"/>
  <c r="AN114" i="7"/>
  <c r="AN115" i="7"/>
  <c r="AN116" i="7"/>
  <c r="AN117" i="7"/>
  <c r="AN118" i="7"/>
  <c r="AN119" i="7"/>
  <c r="AN120" i="7"/>
  <c r="AN121" i="7"/>
  <c r="AN122" i="7"/>
  <c r="AN123" i="7"/>
  <c r="AN124" i="7"/>
  <c r="AN125" i="7"/>
  <c r="AN126" i="7"/>
  <c r="L3" i="7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2" i="7"/>
  <c r="AN2" i="7"/>
  <c r="AJ38" i="7"/>
  <c r="AM38" i="7" s="1"/>
  <c r="AE14" i="7"/>
  <c r="AG14" i="7" s="1"/>
  <c r="AM14" i="7"/>
  <c r="AM4" i="7"/>
  <c r="AP3" i="8"/>
  <c r="AP4" i="8"/>
  <c r="AP5" i="8"/>
  <c r="AP6" i="8"/>
  <c r="AP7" i="8"/>
  <c r="AP8" i="8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P23" i="8"/>
  <c r="AP24" i="8"/>
  <c r="AP25" i="8"/>
  <c r="AP26" i="8"/>
  <c r="AP27" i="8"/>
  <c r="AP28" i="8"/>
  <c r="AP29" i="8"/>
  <c r="AP30" i="8"/>
  <c r="AP31" i="8"/>
  <c r="AP32" i="8"/>
  <c r="AP33" i="8"/>
  <c r="AP34" i="8"/>
  <c r="AP35" i="8"/>
  <c r="AP36" i="8"/>
  <c r="AP37" i="8"/>
  <c r="AP38" i="8"/>
  <c r="AP39" i="8"/>
  <c r="AP40" i="8"/>
  <c r="AP41" i="8"/>
  <c r="AP42" i="8"/>
  <c r="AP43" i="8"/>
  <c r="AP44" i="8"/>
  <c r="AP45" i="8"/>
  <c r="AP46" i="8"/>
  <c r="AP47" i="8"/>
  <c r="AP48" i="8"/>
  <c r="AP49" i="8"/>
  <c r="AP50" i="8"/>
  <c r="AP51" i="8"/>
  <c r="AP52" i="8"/>
  <c r="AP53" i="8"/>
  <c r="AP54" i="8"/>
  <c r="AP55" i="8"/>
  <c r="AP56" i="8"/>
  <c r="AP57" i="8"/>
  <c r="AP58" i="8"/>
  <c r="AP59" i="8"/>
  <c r="AP60" i="8"/>
  <c r="AP61" i="8"/>
  <c r="AP62" i="8"/>
  <c r="AP63" i="8"/>
  <c r="AP64" i="8"/>
  <c r="AP65" i="8"/>
  <c r="AP66" i="8"/>
  <c r="AP67" i="8"/>
  <c r="AP68" i="8"/>
  <c r="AP69" i="8"/>
  <c r="AP70" i="8"/>
  <c r="AP71" i="8"/>
  <c r="AP72" i="8"/>
  <c r="AP73" i="8"/>
  <c r="AP74" i="8"/>
  <c r="AP75" i="8"/>
  <c r="AP76" i="8"/>
  <c r="AP77" i="8"/>
  <c r="AP78" i="8"/>
  <c r="AP79" i="8"/>
  <c r="AP80" i="8"/>
  <c r="AP81" i="8"/>
  <c r="AP82" i="8"/>
  <c r="AP83" i="8"/>
  <c r="AP84" i="8"/>
  <c r="AP85" i="8"/>
  <c r="AP86" i="8"/>
  <c r="AP87" i="8"/>
  <c r="AP88" i="8"/>
  <c r="AP89" i="8"/>
  <c r="AP90" i="8"/>
  <c r="AP91" i="8"/>
  <c r="AP92" i="8"/>
  <c r="AP93" i="8"/>
  <c r="AP94" i="8"/>
  <c r="AP95" i="8"/>
  <c r="AP96" i="8"/>
  <c r="AP97" i="8"/>
  <c r="AP98" i="8"/>
  <c r="AP99" i="8"/>
  <c r="AP100" i="8"/>
  <c r="AP101" i="8"/>
  <c r="AP102" i="8"/>
  <c r="AP103" i="8"/>
  <c r="AP104" i="8"/>
  <c r="AP105" i="8"/>
  <c r="AP2" i="8"/>
  <c r="AL3" i="8"/>
  <c r="AL4" i="8"/>
  <c r="AL5" i="8"/>
  <c r="AL6" i="8"/>
  <c r="AL7" i="8"/>
  <c r="AL8" i="8"/>
  <c r="AL9" i="8"/>
  <c r="AL10" i="8"/>
  <c r="AL11" i="8"/>
  <c r="AL12" i="8"/>
  <c r="AL13" i="8"/>
  <c r="AL14" i="8"/>
  <c r="AL15" i="8"/>
  <c r="AL16" i="8"/>
  <c r="AL17" i="8"/>
  <c r="AL18" i="8"/>
  <c r="AL19" i="8"/>
  <c r="AL20" i="8"/>
  <c r="AL21" i="8"/>
  <c r="AL22" i="8"/>
  <c r="AL23" i="8"/>
  <c r="AL24" i="8"/>
  <c r="AL25" i="8"/>
  <c r="AL26" i="8"/>
  <c r="AL27" i="8"/>
  <c r="AL28" i="8"/>
  <c r="AL29" i="8"/>
  <c r="AL30" i="8"/>
  <c r="AL31" i="8"/>
  <c r="AL32" i="8"/>
  <c r="AL33" i="8"/>
  <c r="AL34" i="8"/>
  <c r="AL35" i="8"/>
  <c r="AL36" i="8"/>
  <c r="AL37" i="8"/>
  <c r="AL38" i="8"/>
  <c r="AL39" i="8"/>
  <c r="AL40" i="8"/>
  <c r="AL41" i="8"/>
  <c r="AL42" i="8"/>
  <c r="AL43" i="8"/>
  <c r="AL44" i="8"/>
  <c r="AL45" i="8"/>
  <c r="AL46" i="8"/>
  <c r="AL47" i="8"/>
  <c r="AL48" i="8"/>
  <c r="AL49" i="8"/>
  <c r="AL50" i="8"/>
  <c r="AL51" i="8"/>
  <c r="AL52" i="8"/>
  <c r="AL53" i="8"/>
  <c r="AL54" i="8"/>
  <c r="AL55" i="8"/>
  <c r="AL56" i="8"/>
  <c r="AL57" i="8"/>
  <c r="AL58" i="8"/>
  <c r="AL59" i="8"/>
  <c r="AL60" i="8"/>
  <c r="AL61" i="8"/>
  <c r="AL62" i="8"/>
  <c r="AL63" i="8"/>
  <c r="AL64" i="8"/>
  <c r="AL65" i="8"/>
  <c r="AL66" i="8"/>
  <c r="AL67" i="8"/>
  <c r="AL68" i="8"/>
  <c r="AL69" i="8"/>
  <c r="AL70" i="8"/>
  <c r="AL71" i="8"/>
  <c r="AL72" i="8"/>
  <c r="AL73" i="8"/>
  <c r="AL74" i="8"/>
  <c r="AL75" i="8"/>
  <c r="AL76" i="8"/>
  <c r="AL77" i="8"/>
  <c r="AL78" i="8"/>
  <c r="AL79" i="8"/>
  <c r="AL80" i="8"/>
  <c r="AL81" i="8"/>
  <c r="AL82" i="8"/>
  <c r="AL83" i="8"/>
  <c r="AL84" i="8"/>
  <c r="AL85" i="8"/>
  <c r="AL86" i="8"/>
  <c r="AL87" i="8"/>
  <c r="AL88" i="8"/>
  <c r="AL89" i="8"/>
  <c r="AL90" i="8"/>
  <c r="AL91" i="8"/>
  <c r="AL92" i="8"/>
  <c r="AL93" i="8"/>
  <c r="AL94" i="8"/>
  <c r="AL95" i="8"/>
  <c r="AL96" i="8"/>
  <c r="AL97" i="8"/>
  <c r="AL98" i="8"/>
  <c r="AL99" i="8"/>
  <c r="AL100" i="8"/>
  <c r="AL101" i="8"/>
  <c r="AL102" i="8"/>
  <c r="AL103" i="8"/>
  <c r="AL104" i="8"/>
  <c r="AL105" i="8"/>
  <c r="AL2" i="8"/>
  <c r="L270" i="2"/>
  <c r="L271" i="2"/>
  <c r="L272" i="2"/>
  <c r="L273" i="2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2" i="4"/>
  <c r="AJ6" i="6"/>
  <c r="AJ7" i="6"/>
  <c r="AJ12" i="6"/>
  <c r="AJ13" i="6"/>
  <c r="AJ21" i="6"/>
  <c r="AJ23" i="6"/>
  <c r="AJ25" i="6"/>
  <c r="AJ26" i="6"/>
  <c r="AJ27" i="6"/>
  <c r="AJ28" i="6"/>
  <c r="AJ30" i="6"/>
  <c r="AJ31" i="6"/>
  <c r="AJ32" i="6"/>
  <c r="AJ2" i="6"/>
  <c r="AS22" i="4"/>
  <c r="AS31" i="4"/>
  <c r="AS76" i="4"/>
  <c r="AJ15" i="4"/>
  <c r="AM15" i="4" s="1"/>
  <c r="AJ29" i="4"/>
  <c r="AM29" i="4" s="1"/>
  <c r="AE29" i="4" s="1"/>
  <c r="AG29" i="4" s="1"/>
  <c r="AJ79" i="4"/>
  <c r="AM79" i="4" s="1"/>
  <c r="L3" i="4"/>
  <c r="AJ3" i="4" s="1"/>
  <c r="AM3" i="4" s="1"/>
  <c r="L4" i="4"/>
  <c r="AJ4" i="4" s="1"/>
  <c r="AM4" i="4" s="1"/>
  <c r="L5" i="4"/>
  <c r="AJ5" i="4" s="1"/>
  <c r="AM5" i="4" s="1"/>
  <c r="AE5" i="4" s="1"/>
  <c r="AG5" i="4" s="1"/>
  <c r="L6" i="4"/>
  <c r="AJ6" i="4" s="1"/>
  <c r="AM6" i="4" s="1"/>
  <c r="L7" i="4"/>
  <c r="AJ7" i="4" s="1"/>
  <c r="AM7" i="4" s="1"/>
  <c r="L8" i="4"/>
  <c r="AJ8" i="4" s="1"/>
  <c r="AM8" i="4" s="1"/>
  <c r="L9" i="4"/>
  <c r="AJ9" i="4" s="1"/>
  <c r="AM9" i="4" s="1"/>
  <c r="L10" i="4"/>
  <c r="AJ10" i="4" s="1"/>
  <c r="AM10" i="4" s="1"/>
  <c r="L11" i="4"/>
  <c r="AJ11" i="4" s="1"/>
  <c r="AM11" i="4" s="1"/>
  <c r="L12" i="4"/>
  <c r="AJ12" i="4" s="1"/>
  <c r="AM12" i="4" s="1"/>
  <c r="L13" i="4"/>
  <c r="AJ13" i="4" s="1"/>
  <c r="AM13" i="4" s="1"/>
  <c r="AE13" i="4" s="1"/>
  <c r="AG13" i="4" s="1"/>
  <c r="L14" i="4"/>
  <c r="AJ14" i="4" s="1"/>
  <c r="AM14" i="4" s="1"/>
  <c r="L15" i="4"/>
  <c r="L16" i="4"/>
  <c r="AJ16" i="4" s="1"/>
  <c r="AM16" i="4" s="1"/>
  <c r="L17" i="4"/>
  <c r="AJ17" i="4" s="1"/>
  <c r="AM17" i="4" s="1"/>
  <c r="AN17" i="4" s="1"/>
  <c r="L18" i="4"/>
  <c r="AJ18" i="4" s="1"/>
  <c r="AM18" i="4" s="1"/>
  <c r="L19" i="4"/>
  <c r="AJ19" i="4" s="1"/>
  <c r="AM19" i="4" s="1"/>
  <c r="L20" i="4"/>
  <c r="AJ20" i="4" s="1"/>
  <c r="AM20" i="4" s="1"/>
  <c r="L21" i="4"/>
  <c r="AJ21" i="4" s="1"/>
  <c r="AM21" i="4" s="1"/>
  <c r="L22" i="4"/>
  <c r="AJ22" i="4" s="1"/>
  <c r="AM22" i="4" s="1"/>
  <c r="L23" i="4"/>
  <c r="AJ23" i="4" s="1"/>
  <c r="AM23" i="4" s="1"/>
  <c r="L24" i="4"/>
  <c r="AJ24" i="4" s="1"/>
  <c r="AM24" i="4" s="1"/>
  <c r="L25" i="4"/>
  <c r="AJ25" i="4" s="1"/>
  <c r="AM25" i="4" s="1"/>
  <c r="L26" i="4"/>
  <c r="AJ26" i="4" s="1"/>
  <c r="AM26" i="4" s="1"/>
  <c r="L27" i="4"/>
  <c r="AJ27" i="4" s="1"/>
  <c r="AM27" i="4" s="1"/>
  <c r="L28" i="4"/>
  <c r="AJ28" i="4" s="1"/>
  <c r="AM28" i="4" s="1"/>
  <c r="AN28" i="4" s="1"/>
  <c r="L29" i="4"/>
  <c r="L30" i="4"/>
  <c r="AJ30" i="4" s="1"/>
  <c r="AM30" i="4" s="1"/>
  <c r="L31" i="4"/>
  <c r="AJ31" i="4" s="1"/>
  <c r="AM31" i="4" s="1"/>
  <c r="L32" i="4"/>
  <c r="AJ32" i="4" s="1"/>
  <c r="AM32" i="4" s="1"/>
  <c r="L33" i="4"/>
  <c r="AJ33" i="4" s="1"/>
  <c r="AM33" i="4" s="1"/>
  <c r="L34" i="4"/>
  <c r="AJ34" i="4" s="1"/>
  <c r="AM34" i="4" s="1"/>
  <c r="L35" i="4"/>
  <c r="AJ35" i="4" s="1"/>
  <c r="AM35" i="4" s="1"/>
  <c r="L36" i="4"/>
  <c r="AJ36" i="4" s="1"/>
  <c r="AM36" i="4" s="1"/>
  <c r="L37" i="4"/>
  <c r="AJ37" i="4" s="1"/>
  <c r="AM37" i="4" s="1"/>
  <c r="AE37" i="4" s="1"/>
  <c r="AG37" i="4" s="1"/>
  <c r="L38" i="4"/>
  <c r="AJ38" i="4" s="1"/>
  <c r="AM38" i="4" s="1"/>
  <c r="L39" i="4"/>
  <c r="AJ39" i="4" s="1"/>
  <c r="AM39" i="4" s="1"/>
  <c r="L40" i="4"/>
  <c r="AJ40" i="4" s="1"/>
  <c r="AM40" i="4" s="1"/>
  <c r="L41" i="4"/>
  <c r="AJ41" i="4" s="1"/>
  <c r="AM41" i="4" s="1"/>
  <c r="L42" i="4"/>
  <c r="AJ42" i="4" s="1"/>
  <c r="AM42" i="4" s="1"/>
  <c r="L43" i="4"/>
  <c r="AJ43" i="4" s="1"/>
  <c r="AM43" i="4" s="1"/>
  <c r="L44" i="4"/>
  <c r="AJ44" i="4" s="1"/>
  <c r="AM44" i="4" s="1"/>
  <c r="L45" i="4"/>
  <c r="AJ45" i="4" s="1"/>
  <c r="AM45" i="4" s="1"/>
  <c r="AE45" i="4" s="1"/>
  <c r="AG45" i="4" s="1"/>
  <c r="L46" i="4"/>
  <c r="AJ46" i="4" s="1"/>
  <c r="AM46" i="4" s="1"/>
  <c r="L47" i="4"/>
  <c r="AJ47" i="4" s="1"/>
  <c r="AM47" i="4" s="1"/>
  <c r="L48" i="4"/>
  <c r="AJ48" i="4" s="1"/>
  <c r="AM48" i="4" s="1"/>
  <c r="AN48" i="4" s="1"/>
  <c r="L49" i="4"/>
  <c r="AJ49" i="4" s="1"/>
  <c r="AM49" i="4" s="1"/>
  <c r="L50" i="4"/>
  <c r="AJ50" i="4" s="1"/>
  <c r="AM50" i="4" s="1"/>
  <c r="L51" i="4"/>
  <c r="AJ51" i="4" s="1"/>
  <c r="AM51" i="4" s="1"/>
  <c r="L52" i="4"/>
  <c r="AJ52" i="4" s="1"/>
  <c r="AM52" i="4" s="1"/>
  <c r="L53" i="4"/>
  <c r="AJ53" i="4" s="1"/>
  <c r="AM53" i="4" s="1"/>
  <c r="AE53" i="4" s="1"/>
  <c r="AG53" i="4" s="1"/>
  <c r="L54" i="4"/>
  <c r="AJ54" i="4" s="1"/>
  <c r="AM54" i="4" s="1"/>
  <c r="L55" i="4"/>
  <c r="AJ55" i="4" s="1"/>
  <c r="AM55" i="4" s="1"/>
  <c r="L56" i="4"/>
  <c r="AJ56" i="4" s="1"/>
  <c r="AM56" i="4" s="1"/>
  <c r="L57" i="4"/>
  <c r="AJ57" i="4" s="1"/>
  <c r="AM57" i="4" s="1"/>
  <c r="AN57" i="4" s="1"/>
  <c r="L58" i="4"/>
  <c r="AJ58" i="4" s="1"/>
  <c r="AM58" i="4" s="1"/>
  <c r="L59" i="4"/>
  <c r="AJ59" i="4" s="1"/>
  <c r="AM59" i="4" s="1"/>
  <c r="L60" i="4"/>
  <c r="AJ60" i="4" s="1"/>
  <c r="AM60" i="4" s="1"/>
  <c r="L61" i="4"/>
  <c r="AJ61" i="4" s="1"/>
  <c r="AM61" i="4" s="1"/>
  <c r="L62" i="4"/>
  <c r="AJ62" i="4" s="1"/>
  <c r="AM62" i="4" s="1"/>
  <c r="L63" i="4"/>
  <c r="AJ63" i="4" s="1"/>
  <c r="AM63" i="4" s="1"/>
  <c r="L64" i="4"/>
  <c r="AJ64" i="4" s="1"/>
  <c r="AM64" i="4" s="1"/>
  <c r="L65" i="4"/>
  <c r="AJ65" i="4" s="1"/>
  <c r="AM65" i="4" s="1"/>
  <c r="L66" i="4"/>
  <c r="AJ66" i="4" s="1"/>
  <c r="AM66" i="4" s="1"/>
  <c r="AN66" i="4" s="1"/>
  <c r="L67" i="4"/>
  <c r="AJ67" i="4" s="1"/>
  <c r="AM67" i="4" s="1"/>
  <c r="L68" i="4"/>
  <c r="AJ68" i="4" s="1"/>
  <c r="AM68" i="4" s="1"/>
  <c r="L69" i="4"/>
  <c r="AJ69" i="4" s="1"/>
  <c r="AM69" i="4" s="1"/>
  <c r="AE69" i="4" s="1"/>
  <c r="AG69" i="4" s="1"/>
  <c r="L70" i="4"/>
  <c r="AJ70" i="4" s="1"/>
  <c r="AM70" i="4" s="1"/>
  <c r="L71" i="4"/>
  <c r="AJ71" i="4" s="1"/>
  <c r="AM71" i="4" s="1"/>
  <c r="L72" i="4"/>
  <c r="AJ72" i="4" s="1"/>
  <c r="AM72" i="4" s="1"/>
  <c r="L73" i="4"/>
  <c r="AJ73" i="4" s="1"/>
  <c r="AM73" i="4" s="1"/>
  <c r="L74" i="4"/>
  <c r="AJ74" i="4" s="1"/>
  <c r="AM74" i="4" s="1"/>
  <c r="L75" i="4"/>
  <c r="AJ75" i="4" s="1"/>
  <c r="AM75" i="4" s="1"/>
  <c r="AN75" i="4" s="1"/>
  <c r="L76" i="4"/>
  <c r="AJ76" i="4" s="1"/>
  <c r="AM76" i="4" s="1"/>
  <c r="L77" i="4"/>
  <c r="AJ77" i="4" s="1"/>
  <c r="AM77" i="4" s="1"/>
  <c r="AE77" i="4" s="1"/>
  <c r="AG77" i="4" s="1"/>
  <c r="L78" i="4"/>
  <c r="AJ78" i="4" s="1"/>
  <c r="AM78" i="4" s="1"/>
  <c r="L79" i="4"/>
  <c r="L80" i="4"/>
  <c r="AJ80" i="4" s="1"/>
  <c r="AM80" i="4" s="1"/>
  <c r="L81" i="4"/>
  <c r="AJ81" i="4" s="1"/>
  <c r="AM81" i="4" s="1"/>
  <c r="L82" i="4"/>
  <c r="AJ82" i="4" s="1"/>
  <c r="AM82" i="4" s="1"/>
  <c r="L83" i="4"/>
  <c r="AJ83" i="4" s="1"/>
  <c r="AM83" i="4" s="1"/>
  <c r="L84" i="4"/>
  <c r="AJ84" i="4" s="1"/>
  <c r="AM84" i="4" s="1"/>
  <c r="AN84" i="4" s="1"/>
  <c r="L85" i="4"/>
  <c r="AJ85" i="4" s="1"/>
  <c r="AM85" i="4" s="1"/>
  <c r="L86" i="4"/>
  <c r="AJ86" i="4" s="1"/>
  <c r="AM86" i="4" s="1"/>
  <c r="L87" i="4"/>
  <c r="AJ87" i="4" s="1"/>
  <c r="AM87" i="4" s="1"/>
  <c r="L88" i="4"/>
  <c r="AJ88" i="4" s="1"/>
  <c r="AM88" i="4" s="1"/>
  <c r="L89" i="4"/>
  <c r="AJ89" i="4" s="1"/>
  <c r="AM89" i="4" s="1"/>
  <c r="L90" i="4"/>
  <c r="AJ90" i="4" s="1"/>
  <c r="AM90" i="4" s="1"/>
  <c r="L91" i="4"/>
  <c r="AJ91" i="4" s="1"/>
  <c r="AM91" i="4" s="1"/>
  <c r="L92" i="4"/>
  <c r="AJ92" i="4" s="1"/>
  <c r="AM92" i="4" s="1"/>
  <c r="AN92" i="4" s="1"/>
  <c r="L93" i="4"/>
  <c r="AJ93" i="4" s="1"/>
  <c r="AM93" i="4" s="1"/>
  <c r="AE93" i="4" s="1"/>
  <c r="L94" i="4"/>
  <c r="AJ94" i="4" s="1"/>
  <c r="AM94" i="4" s="1"/>
  <c r="L95" i="4"/>
  <c r="AJ95" i="4" s="1"/>
  <c r="AM95" i="4" s="1"/>
  <c r="L96" i="4"/>
  <c r="AJ96" i="4" s="1"/>
  <c r="AM96" i="4" s="1"/>
  <c r="L97" i="4"/>
  <c r="AJ97" i="4" s="1"/>
  <c r="AM97" i="4" s="1"/>
  <c r="L98" i="4"/>
  <c r="AJ98" i="4" s="1"/>
  <c r="AM98" i="4" s="1"/>
  <c r="L99" i="4"/>
  <c r="AJ99" i="4" s="1"/>
  <c r="AM99" i="4" s="1"/>
  <c r="L100" i="4"/>
  <c r="AJ100" i="4" s="1"/>
  <c r="AM100" i="4" s="1"/>
  <c r="AN100" i="4" s="1"/>
  <c r="L101" i="4"/>
  <c r="AJ101" i="4" s="1"/>
  <c r="AM101" i="4" s="1"/>
  <c r="AE101" i="4" s="1"/>
  <c r="AG101" i="4" s="1"/>
  <c r="L102" i="4"/>
  <c r="AJ102" i="4" s="1"/>
  <c r="AM102" i="4" s="1"/>
  <c r="L103" i="4"/>
  <c r="AJ103" i="4" s="1"/>
  <c r="AM103" i="4" s="1"/>
  <c r="L104" i="4"/>
  <c r="AJ104" i="4" s="1"/>
  <c r="AM104" i="4" s="1"/>
  <c r="L105" i="4"/>
  <c r="AJ105" i="4" s="1"/>
  <c r="AM105" i="4" s="1"/>
  <c r="L106" i="4"/>
  <c r="AJ106" i="4" s="1"/>
  <c r="AM106" i="4" s="1"/>
  <c r="L107" i="4"/>
  <c r="AJ107" i="4" s="1"/>
  <c r="AM107" i="4" s="1"/>
  <c r="L108" i="4"/>
  <c r="AJ108" i="4" s="1"/>
  <c r="AM108" i="4" s="1"/>
  <c r="AN108" i="4" s="1"/>
  <c r="L109" i="4"/>
  <c r="AJ109" i="4" s="1"/>
  <c r="AM109" i="4" s="1"/>
  <c r="AE109" i="4" s="1"/>
  <c r="AG109" i="4" s="1"/>
  <c r="L110" i="4"/>
  <c r="AJ110" i="4" s="1"/>
  <c r="AM110" i="4" s="1"/>
  <c r="L111" i="4"/>
  <c r="AJ111" i="4" s="1"/>
  <c r="AM111" i="4" s="1"/>
  <c r="L112" i="4"/>
  <c r="AJ112" i="4" s="1"/>
  <c r="AM112" i="4" s="1"/>
  <c r="L113" i="4"/>
  <c r="AJ113" i="4" s="1"/>
  <c r="AM113" i="4" s="1"/>
  <c r="L114" i="4"/>
  <c r="AJ114" i="4" s="1"/>
  <c r="AM114" i="4" s="1"/>
  <c r="L115" i="4"/>
  <c r="AJ115" i="4" s="1"/>
  <c r="AM115" i="4" s="1"/>
  <c r="L116" i="4"/>
  <c r="AJ116" i="4" s="1"/>
  <c r="AM116" i="4" s="1"/>
  <c r="AN116" i="4" s="1"/>
  <c r="L117" i="4"/>
  <c r="AJ117" i="4" s="1"/>
  <c r="AM117" i="4" s="1"/>
  <c r="L118" i="4"/>
  <c r="AJ118" i="4" s="1"/>
  <c r="AM118" i="4" s="1"/>
  <c r="L119" i="4"/>
  <c r="AJ119" i="4" s="1"/>
  <c r="AM119" i="4" s="1"/>
  <c r="L120" i="4"/>
  <c r="AJ120" i="4" s="1"/>
  <c r="AM120" i="4" s="1"/>
  <c r="L2" i="4"/>
  <c r="AJ2" i="4" s="1"/>
  <c r="AM2" i="4" s="1"/>
  <c r="AR12" i="9"/>
  <c r="AR16" i="9"/>
  <c r="AV3" i="9"/>
  <c r="AV4" i="9"/>
  <c r="AV5" i="9"/>
  <c r="AV6" i="9"/>
  <c r="AV7" i="9"/>
  <c r="AV8" i="9"/>
  <c r="AV9" i="9"/>
  <c r="AV10" i="9"/>
  <c r="AR10" i="9" s="1"/>
  <c r="AV11" i="9"/>
  <c r="AR11" i="9" s="1"/>
  <c r="AV12" i="9"/>
  <c r="AV13" i="9"/>
  <c r="AR13" i="9" s="1"/>
  <c r="AV14" i="9"/>
  <c r="AR14" i="9" s="1"/>
  <c r="AV15" i="9"/>
  <c r="AR15" i="9" s="1"/>
  <c r="AV16" i="9"/>
  <c r="AV17" i="9"/>
  <c r="AR17" i="9" s="1"/>
  <c r="AV18" i="9"/>
  <c r="AR18" i="9" s="1"/>
  <c r="AV19" i="9"/>
  <c r="AR19" i="9" s="1"/>
  <c r="AV20" i="9"/>
  <c r="AR20" i="9" s="1"/>
  <c r="AV21" i="9"/>
  <c r="AR21" i="9" s="1"/>
  <c r="AV22" i="9"/>
  <c r="AR22" i="9" s="1"/>
  <c r="AV23" i="9"/>
  <c r="AR23" i="9" s="1"/>
  <c r="AV24" i="9"/>
  <c r="AR24" i="9" s="1"/>
  <c r="AV25" i="9"/>
  <c r="AR25" i="9" s="1"/>
  <c r="AV26" i="9"/>
  <c r="AR26" i="9" s="1"/>
  <c r="AV27" i="9"/>
  <c r="AR27" i="9" s="1"/>
  <c r="AV28" i="9"/>
  <c r="AR28" i="9" s="1"/>
  <c r="AV29" i="9"/>
  <c r="AR29" i="9" s="1"/>
  <c r="AV30" i="9"/>
  <c r="AV31" i="9"/>
  <c r="AV32" i="9"/>
  <c r="AV33" i="9"/>
  <c r="AV34" i="9"/>
  <c r="AR34" i="9" s="1"/>
  <c r="AV35" i="9"/>
  <c r="AV36" i="9"/>
  <c r="AV37" i="9"/>
  <c r="AV38" i="9"/>
  <c r="AV39" i="9"/>
  <c r="AV40" i="9"/>
  <c r="AV41" i="9"/>
  <c r="AV42" i="9"/>
  <c r="AV43" i="9"/>
  <c r="AV44" i="9"/>
  <c r="AR44" i="9" s="1"/>
  <c r="AV45" i="9"/>
  <c r="AR45" i="9" s="1"/>
  <c r="AV46" i="9"/>
  <c r="AR46" i="9" s="1"/>
  <c r="AV47" i="9"/>
  <c r="AR47" i="9" s="1"/>
  <c r="AV48" i="9"/>
  <c r="AR48" i="9" s="1"/>
  <c r="AV49" i="9"/>
  <c r="AR49" i="9" s="1"/>
  <c r="AV50" i="9"/>
  <c r="AV51" i="9"/>
  <c r="AV52" i="9"/>
  <c r="AV53" i="9"/>
  <c r="AV54" i="9"/>
  <c r="AV55" i="9"/>
  <c r="AV56" i="9"/>
  <c r="AV57" i="9"/>
  <c r="AV58" i="9"/>
  <c r="AV59" i="9"/>
  <c r="AV60" i="9"/>
  <c r="AV61" i="9"/>
  <c r="AV62" i="9"/>
  <c r="AV63" i="9"/>
  <c r="AV64" i="9"/>
  <c r="AV65" i="9"/>
  <c r="AV66" i="9"/>
  <c r="AV67" i="9"/>
  <c r="AV68" i="9"/>
  <c r="AR68" i="9" s="1"/>
  <c r="AV69" i="9"/>
  <c r="AR69" i="9" s="1"/>
  <c r="AV70" i="9"/>
  <c r="AR70" i="9" s="1"/>
  <c r="AV71" i="9"/>
  <c r="AV72" i="9"/>
  <c r="AV73" i="9"/>
  <c r="AR73" i="9" s="1"/>
  <c r="AV74" i="9"/>
  <c r="AR74" i="9" s="1"/>
  <c r="AV75" i="9"/>
  <c r="AR75" i="9" s="1"/>
  <c r="AV76" i="9"/>
  <c r="AR76" i="9" s="1"/>
  <c r="AV77" i="9"/>
  <c r="AR77" i="9" s="1"/>
  <c r="AV78" i="9"/>
  <c r="AR78" i="9" s="1"/>
  <c r="AV79" i="9"/>
  <c r="AV80" i="9"/>
  <c r="AV81" i="9"/>
  <c r="AV82" i="9"/>
  <c r="AV83" i="9"/>
  <c r="AV84" i="9"/>
  <c r="AR84" i="9" s="1"/>
  <c r="AV85" i="9"/>
  <c r="AR85" i="9" s="1"/>
  <c r="AV86" i="9"/>
  <c r="AR86" i="9" s="1"/>
  <c r="AV87" i="9"/>
  <c r="AV88" i="9"/>
  <c r="AV89" i="9"/>
  <c r="AV90" i="9"/>
  <c r="AV91" i="9"/>
  <c r="AV92" i="9"/>
  <c r="AR92" i="9" s="1"/>
  <c r="AV93" i="9"/>
  <c r="AV94" i="9"/>
  <c r="AV95" i="9"/>
  <c r="AV96" i="9"/>
  <c r="AV97" i="9"/>
  <c r="AR97" i="9" s="1"/>
  <c r="AV98" i="9"/>
  <c r="AR98" i="9" s="1"/>
  <c r="AV99" i="9"/>
  <c r="AV100" i="9"/>
  <c r="AV101" i="9"/>
  <c r="AV102" i="9"/>
  <c r="AR102" i="9" s="1"/>
  <c r="AV103" i="9"/>
  <c r="AR103" i="9" s="1"/>
  <c r="AV104" i="9"/>
  <c r="AR104" i="9" s="1"/>
  <c r="AV105" i="9"/>
  <c r="AV106" i="9"/>
  <c r="AV107" i="9"/>
  <c r="AV108" i="9"/>
  <c r="AV109" i="9"/>
  <c r="AV110" i="9"/>
  <c r="AR110" i="9" s="1"/>
  <c r="AV111" i="9"/>
  <c r="AR111" i="9" s="1"/>
  <c r="AV112" i="9"/>
  <c r="AR112" i="9" s="1"/>
  <c r="AV113" i="9"/>
  <c r="AV114" i="9"/>
  <c r="AR114" i="9" s="1"/>
  <c r="AV115" i="9"/>
  <c r="AV116" i="9"/>
  <c r="AR116" i="9" s="1"/>
  <c r="AV117" i="9"/>
  <c r="AR117" i="9" s="1"/>
  <c r="AV118" i="9"/>
  <c r="AR118" i="9" s="1"/>
  <c r="AV119" i="9"/>
  <c r="AR119" i="9" s="1"/>
  <c r="AV120" i="9"/>
  <c r="AR120" i="9" s="1"/>
  <c r="AV121" i="9"/>
  <c r="AR121" i="9" s="1"/>
  <c r="AV122" i="9"/>
  <c r="AR122" i="9" s="1"/>
  <c r="AV123" i="9"/>
  <c r="AR123" i="9" s="1"/>
  <c r="AV124" i="9"/>
  <c r="AR124" i="9" s="1"/>
  <c r="AV125" i="9"/>
  <c r="AV126" i="9"/>
  <c r="AV127" i="9"/>
  <c r="AV128" i="9"/>
  <c r="AV129" i="9"/>
  <c r="AV130" i="9"/>
  <c r="AV131" i="9"/>
  <c r="AV132" i="9"/>
  <c r="AV133" i="9"/>
  <c r="AV134" i="9"/>
  <c r="AV135" i="9"/>
  <c r="AV136" i="9"/>
  <c r="AV137" i="9"/>
  <c r="AV138" i="9"/>
  <c r="AV139" i="9"/>
  <c r="AV140" i="9"/>
  <c r="AR140" i="9" s="1"/>
  <c r="AV141" i="9"/>
  <c r="AV142" i="9"/>
  <c r="AV143" i="9"/>
  <c r="AR143" i="9" s="1"/>
  <c r="AV144" i="9"/>
  <c r="AR144" i="9" s="1"/>
  <c r="AV145" i="9"/>
  <c r="AV146" i="9"/>
  <c r="AV147" i="9"/>
  <c r="AV148" i="9"/>
  <c r="AV149" i="9"/>
  <c r="AV2" i="9"/>
  <c r="S106" i="9"/>
  <c r="U106" i="9" s="1"/>
  <c r="AF115" i="9"/>
  <c r="AH115" i="9" s="1"/>
  <c r="AO114" i="9"/>
  <c r="AO138" i="9"/>
  <c r="L134" i="9"/>
  <c r="AK134" i="9" s="1"/>
  <c r="AN134" i="9" s="1"/>
  <c r="L3" i="9"/>
  <c r="AK3" i="9" s="1"/>
  <c r="AN3" i="9" s="1"/>
  <c r="AO3" i="9" s="1"/>
  <c r="L4" i="9"/>
  <c r="AK4" i="9" s="1"/>
  <c r="AN4" i="9" s="1"/>
  <c r="L5" i="9"/>
  <c r="AK5" i="9" s="1"/>
  <c r="AN5" i="9" s="1"/>
  <c r="L6" i="9"/>
  <c r="AK6" i="9" s="1"/>
  <c r="AN6" i="9" s="1"/>
  <c r="L7" i="9"/>
  <c r="AK7" i="9" s="1"/>
  <c r="AN7" i="9" s="1"/>
  <c r="AF7" i="9" s="1"/>
  <c r="AH7" i="9" s="1"/>
  <c r="L8" i="9"/>
  <c r="AK8" i="9" s="1"/>
  <c r="AN8" i="9" s="1"/>
  <c r="S8" i="9" s="1"/>
  <c r="U8" i="9" s="1"/>
  <c r="L9" i="9"/>
  <c r="AK9" i="9" s="1"/>
  <c r="AN9" i="9" s="1"/>
  <c r="S9" i="9" s="1"/>
  <c r="U9" i="9" s="1"/>
  <c r="L10" i="9"/>
  <c r="AK10" i="9" s="1"/>
  <c r="AN10" i="9" s="1"/>
  <c r="AO10" i="9" s="1"/>
  <c r="L11" i="9"/>
  <c r="AK11" i="9" s="1"/>
  <c r="AN11" i="9" s="1"/>
  <c r="AO11" i="9" s="1"/>
  <c r="L12" i="9"/>
  <c r="AK12" i="9" s="1"/>
  <c r="AN12" i="9" s="1"/>
  <c r="L13" i="9"/>
  <c r="AK13" i="9" s="1"/>
  <c r="AN13" i="9" s="1"/>
  <c r="L14" i="9"/>
  <c r="AK14" i="9" s="1"/>
  <c r="AN14" i="9" s="1"/>
  <c r="L15" i="9"/>
  <c r="AK15" i="9" s="1"/>
  <c r="AN15" i="9" s="1"/>
  <c r="AF15" i="9" s="1"/>
  <c r="AH15" i="9" s="1"/>
  <c r="L16" i="9"/>
  <c r="AK16" i="9" s="1"/>
  <c r="AN16" i="9" s="1"/>
  <c r="S16" i="9" s="1"/>
  <c r="U16" i="9" s="1"/>
  <c r="L17" i="9"/>
  <c r="AK17" i="9" s="1"/>
  <c r="AN17" i="9" s="1"/>
  <c r="S17" i="9" s="1"/>
  <c r="U17" i="9" s="1"/>
  <c r="L18" i="9"/>
  <c r="AK18" i="9" s="1"/>
  <c r="AN18" i="9" s="1"/>
  <c r="AO18" i="9" s="1"/>
  <c r="L19" i="9"/>
  <c r="AK19" i="9" s="1"/>
  <c r="AN19" i="9" s="1"/>
  <c r="AO19" i="9" s="1"/>
  <c r="L20" i="9"/>
  <c r="AK20" i="9" s="1"/>
  <c r="AN20" i="9" s="1"/>
  <c r="L21" i="9"/>
  <c r="AK21" i="9" s="1"/>
  <c r="AN21" i="9" s="1"/>
  <c r="L22" i="9"/>
  <c r="AK22" i="9" s="1"/>
  <c r="AN22" i="9" s="1"/>
  <c r="L23" i="9"/>
  <c r="AK23" i="9" s="1"/>
  <c r="AN23" i="9" s="1"/>
  <c r="AF23" i="9" s="1"/>
  <c r="AH23" i="9" s="1"/>
  <c r="L24" i="9"/>
  <c r="AK24" i="9" s="1"/>
  <c r="AN24" i="9" s="1"/>
  <c r="S24" i="9" s="1"/>
  <c r="W24" i="9" s="1"/>
  <c r="L25" i="9"/>
  <c r="AK25" i="9" s="1"/>
  <c r="AN25" i="9" s="1"/>
  <c r="S25" i="9" s="1"/>
  <c r="W25" i="9" s="1"/>
  <c r="L26" i="9"/>
  <c r="AK26" i="9" s="1"/>
  <c r="AN26" i="9" s="1"/>
  <c r="AO26" i="9" s="1"/>
  <c r="L27" i="9"/>
  <c r="AK27" i="9" s="1"/>
  <c r="AN27" i="9" s="1"/>
  <c r="AO27" i="9" s="1"/>
  <c r="L28" i="9"/>
  <c r="AK28" i="9" s="1"/>
  <c r="AN28" i="9" s="1"/>
  <c r="L29" i="9"/>
  <c r="AK29" i="9" s="1"/>
  <c r="AN29" i="9" s="1"/>
  <c r="L30" i="9"/>
  <c r="AK30" i="9" s="1"/>
  <c r="AN30" i="9" s="1"/>
  <c r="L31" i="9"/>
  <c r="AK31" i="9" s="1"/>
  <c r="AN31" i="9" s="1"/>
  <c r="AF31" i="9" s="1"/>
  <c r="AH31" i="9" s="1"/>
  <c r="L32" i="9"/>
  <c r="AK32" i="9" s="1"/>
  <c r="AN32" i="9" s="1"/>
  <c r="S32" i="9" s="1"/>
  <c r="W32" i="9" s="1"/>
  <c r="L33" i="9"/>
  <c r="AK33" i="9" s="1"/>
  <c r="AN33" i="9" s="1"/>
  <c r="S33" i="9" s="1"/>
  <c r="L34" i="9"/>
  <c r="AK34" i="9" s="1"/>
  <c r="AN34" i="9" s="1"/>
  <c r="AO34" i="9" s="1"/>
  <c r="L35" i="9"/>
  <c r="AK35" i="9" s="1"/>
  <c r="AN35" i="9" s="1"/>
  <c r="AO35" i="9" s="1"/>
  <c r="L36" i="9"/>
  <c r="AK36" i="9" s="1"/>
  <c r="AN36" i="9" s="1"/>
  <c r="L37" i="9"/>
  <c r="AK37" i="9" s="1"/>
  <c r="AN37" i="9" s="1"/>
  <c r="L38" i="9"/>
  <c r="AK38" i="9" s="1"/>
  <c r="AN38" i="9" s="1"/>
  <c r="L39" i="9"/>
  <c r="AK39" i="9" s="1"/>
  <c r="AN39" i="9" s="1"/>
  <c r="AF39" i="9" s="1"/>
  <c r="AH39" i="9" s="1"/>
  <c r="L40" i="9"/>
  <c r="AK40" i="9" s="1"/>
  <c r="AN40" i="9" s="1"/>
  <c r="S40" i="9" s="1"/>
  <c r="L41" i="9"/>
  <c r="AK41" i="9" s="1"/>
  <c r="AN41" i="9" s="1"/>
  <c r="S41" i="9" s="1"/>
  <c r="L42" i="9"/>
  <c r="AK42" i="9" s="1"/>
  <c r="AN42" i="9" s="1"/>
  <c r="AO42" i="9" s="1"/>
  <c r="L43" i="9"/>
  <c r="AK43" i="9" s="1"/>
  <c r="AN43" i="9" s="1"/>
  <c r="AO43" i="9" s="1"/>
  <c r="L44" i="9"/>
  <c r="AK44" i="9" s="1"/>
  <c r="AN44" i="9" s="1"/>
  <c r="L45" i="9"/>
  <c r="AK45" i="9" s="1"/>
  <c r="AN45" i="9" s="1"/>
  <c r="L46" i="9"/>
  <c r="AK46" i="9" s="1"/>
  <c r="AN46" i="9" s="1"/>
  <c r="S46" i="9" s="1"/>
  <c r="W46" i="9" s="1"/>
  <c r="L47" i="9"/>
  <c r="AK47" i="9" s="1"/>
  <c r="AN47" i="9" s="1"/>
  <c r="AF47" i="9" s="1"/>
  <c r="AH47" i="9" s="1"/>
  <c r="L48" i="9"/>
  <c r="AK48" i="9" s="1"/>
  <c r="AN48" i="9" s="1"/>
  <c r="S48" i="9" s="1"/>
  <c r="W48" i="9" s="1"/>
  <c r="L49" i="9"/>
  <c r="AK49" i="9" s="1"/>
  <c r="AN49" i="9" s="1"/>
  <c r="S49" i="9" s="1"/>
  <c r="W49" i="9" s="1"/>
  <c r="L50" i="9"/>
  <c r="AK50" i="9" s="1"/>
  <c r="AN50" i="9" s="1"/>
  <c r="AO50" i="9" s="1"/>
  <c r="L51" i="9"/>
  <c r="AK51" i="9" s="1"/>
  <c r="AN51" i="9" s="1"/>
  <c r="AO51" i="9" s="1"/>
  <c r="L52" i="9"/>
  <c r="AK52" i="9" s="1"/>
  <c r="AN52" i="9" s="1"/>
  <c r="L53" i="9"/>
  <c r="AK53" i="9" s="1"/>
  <c r="AN53" i="9" s="1"/>
  <c r="L54" i="9"/>
  <c r="AK54" i="9" s="1"/>
  <c r="AN54" i="9" s="1"/>
  <c r="S54" i="9" s="1"/>
  <c r="W54" i="9" s="1"/>
  <c r="L55" i="9"/>
  <c r="AK55" i="9" s="1"/>
  <c r="AN55" i="9" s="1"/>
  <c r="AF55" i="9" s="1"/>
  <c r="AH55" i="9" s="1"/>
  <c r="L56" i="9"/>
  <c r="AK56" i="9" s="1"/>
  <c r="AN56" i="9" s="1"/>
  <c r="S56" i="9" s="1"/>
  <c r="W56" i="9" s="1"/>
  <c r="L57" i="9"/>
  <c r="AK57" i="9" s="1"/>
  <c r="AN57" i="9" s="1"/>
  <c r="S57" i="9" s="1"/>
  <c r="W57" i="9" s="1"/>
  <c r="L58" i="9"/>
  <c r="AK58" i="9" s="1"/>
  <c r="AN58" i="9" s="1"/>
  <c r="AO58" i="9" s="1"/>
  <c r="L59" i="9"/>
  <c r="AK59" i="9" s="1"/>
  <c r="AN59" i="9" s="1"/>
  <c r="AO59" i="9" s="1"/>
  <c r="L60" i="9"/>
  <c r="AK60" i="9" s="1"/>
  <c r="AN60" i="9" s="1"/>
  <c r="L61" i="9"/>
  <c r="AK61" i="9" s="1"/>
  <c r="AN61" i="9" s="1"/>
  <c r="L62" i="9"/>
  <c r="AK62" i="9" s="1"/>
  <c r="AN62" i="9" s="1"/>
  <c r="S62" i="9" s="1"/>
  <c r="W62" i="9" s="1"/>
  <c r="L63" i="9"/>
  <c r="AK63" i="9" s="1"/>
  <c r="AN63" i="9" s="1"/>
  <c r="AF63" i="9" s="1"/>
  <c r="AH63" i="9" s="1"/>
  <c r="L64" i="9"/>
  <c r="AK64" i="9" s="1"/>
  <c r="AN64" i="9" s="1"/>
  <c r="S64" i="9" s="1"/>
  <c r="W64" i="9" s="1"/>
  <c r="L65" i="9"/>
  <c r="AK65" i="9" s="1"/>
  <c r="AN65" i="9" s="1"/>
  <c r="S65" i="9" s="1"/>
  <c r="W65" i="9" s="1"/>
  <c r="L66" i="9"/>
  <c r="AK66" i="9" s="1"/>
  <c r="AN66" i="9" s="1"/>
  <c r="AO66" i="9" s="1"/>
  <c r="L67" i="9"/>
  <c r="AK67" i="9" s="1"/>
  <c r="AN67" i="9" s="1"/>
  <c r="AO67" i="9" s="1"/>
  <c r="L68" i="9"/>
  <c r="AK68" i="9" s="1"/>
  <c r="AN68" i="9" s="1"/>
  <c r="L69" i="9"/>
  <c r="AK69" i="9" s="1"/>
  <c r="AN69" i="9" s="1"/>
  <c r="L70" i="9"/>
  <c r="AK70" i="9" s="1"/>
  <c r="AN70" i="9" s="1"/>
  <c r="L71" i="9"/>
  <c r="AK71" i="9" s="1"/>
  <c r="AN71" i="9" s="1"/>
  <c r="AF71" i="9" s="1"/>
  <c r="AH71" i="9" s="1"/>
  <c r="L72" i="9"/>
  <c r="AK72" i="9" s="1"/>
  <c r="AN72" i="9" s="1"/>
  <c r="AF72" i="9" s="1"/>
  <c r="AH72" i="9" s="1"/>
  <c r="L73" i="9"/>
  <c r="AK73" i="9" s="1"/>
  <c r="AN73" i="9" s="1"/>
  <c r="S73" i="9" s="1"/>
  <c r="L74" i="9"/>
  <c r="AK74" i="9" s="1"/>
  <c r="AN74" i="9" s="1"/>
  <c r="AO74" i="9" s="1"/>
  <c r="L75" i="9"/>
  <c r="AK75" i="9" s="1"/>
  <c r="AN75" i="9" s="1"/>
  <c r="AO75" i="9" s="1"/>
  <c r="L76" i="9"/>
  <c r="AK76" i="9" s="1"/>
  <c r="AN76" i="9" s="1"/>
  <c r="L77" i="9"/>
  <c r="AK77" i="9" s="1"/>
  <c r="AN77" i="9" s="1"/>
  <c r="L78" i="9"/>
  <c r="AK78" i="9" s="1"/>
  <c r="AN78" i="9" s="1"/>
  <c r="L79" i="9"/>
  <c r="AK79" i="9" s="1"/>
  <c r="AN79" i="9" s="1"/>
  <c r="AF79" i="9" s="1"/>
  <c r="AH79" i="9" s="1"/>
  <c r="L80" i="9"/>
  <c r="AK80" i="9" s="1"/>
  <c r="AN80" i="9" s="1"/>
  <c r="AF80" i="9" s="1"/>
  <c r="AH80" i="9" s="1"/>
  <c r="L81" i="9"/>
  <c r="AK81" i="9" s="1"/>
  <c r="AN81" i="9" s="1"/>
  <c r="S81" i="9" s="1"/>
  <c r="W81" i="9" s="1"/>
  <c r="L82" i="9"/>
  <c r="AK82" i="9" s="1"/>
  <c r="AN82" i="9" s="1"/>
  <c r="AO82" i="9" s="1"/>
  <c r="L83" i="9"/>
  <c r="AK83" i="9" s="1"/>
  <c r="AN83" i="9" s="1"/>
  <c r="AO83" i="9" s="1"/>
  <c r="L84" i="9"/>
  <c r="L85" i="9"/>
  <c r="L86" i="9"/>
  <c r="AK86" i="9" s="1"/>
  <c r="AN86" i="9" s="1"/>
  <c r="L87" i="9"/>
  <c r="AK87" i="9" s="1"/>
  <c r="AN87" i="9" s="1"/>
  <c r="AF87" i="9" s="1"/>
  <c r="AH87" i="9" s="1"/>
  <c r="L88" i="9"/>
  <c r="AK88" i="9" s="1"/>
  <c r="AN88" i="9" s="1"/>
  <c r="AF88" i="9" s="1"/>
  <c r="AH88" i="9" s="1"/>
  <c r="L89" i="9"/>
  <c r="AK89" i="9" s="1"/>
  <c r="AN89" i="9" s="1"/>
  <c r="AF89" i="9" s="1"/>
  <c r="AH89" i="9" s="1"/>
  <c r="L90" i="9"/>
  <c r="AK90" i="9" s="1"/>
  <c r="AN90" i="9" s="1"/>
  <c r="AF90" i="9" s="1"/>
  <c r="AH90" i="9" s="1"/>
  <c r="L91" i="9"/>
  <c r="AK91" i="9" s="1"/>
  <c r="AN91" i="9" s="1"/>
  <c r="S91" i="9" s="1"/>
  <c r="L92" i="9"/>
  <c r="AK92" i="9" s="1"/>
  <c r="AN92" i="9" s="1"/>
  <c r="AF92" i="9" s="1"/>
  <c r="AH92" i="9" s="1"/>
  <c r="L93" i="9"/>
  <c r="AK93" i="9" s="1"/>
  <c r="AN93" i="9" s="1"/>
  <c r="AF93" i="9" s="1"/>
  <c r="AH93" i="9" s="1"/>
  <c r="L94" i="9"/>
  <c r="AK94" i="9" s="1"/>
  <c r="AN94" i="9" s="1"/>
  <c r="L95" i="9"/>
  <c r="AK95" i="9" s="1"/>
  <c r="AN95" i="9" s="1"/>
  <c r="AF95" i="9" s="1"/>
  <c r="AH95" i="9" s="1"/>
  <c r="L96" i="9"/>
  <c r="AK96" i="9" s="1"/>
  <c r="AN96" i="9" s="1"/>
  <c r="AF96" i="9" s="1"/>
  <c r="AH96" i="9" s="1"/>
  <c r="L97" i="9"/>
  <c r="AK97" i="9" s="1"/>
  <c r="AN97" i="9" s="1"/>
  <c r="AF97" i="9" s="1"/>
  <c r="AH97" i="9" s="1"/>
  <c r="L98" i="9"/>
  <c r="AK98" i="9" s="1"/>
  <c r="AN98" i="9" s="1"/>
  <c r="AF98" i="9" s="1"/>
  <c r="AH98" i="9" s="1"/>
  <c r="L99" i="9"/>
  <c r="AK99" i="9" s="1"/>
  <c r="AN99" i="9" s="1"/>
  <c r="S99" i="9" s="1"/>
  <c r="L100" i="9"/>
  <c r="AK100" i="9" s="1"/>
  <c r="AN100" i="9" s="1"/>
  <c r="L101" i="9"/>
  <c r="AK101" i="9" s="1"/>
  <c r="AN101" i="9" s="1"/>
  <c r="L102" i="9"/>
  <c r="AK102" i="9" s="1"/>
  <c r="AN102" i="9" s="1"/>
  <c r="L103" i="9"/>
  <c r="AK103" i="9" s="1"/>
  <c r="AN103" i="9" s="1"/>
  <c r="AF103" i="9" s="1"/>
  <c r="AH103" i="9" s="1"/>
  <c r="L104" i="9"/>
  <c r="AK104" i="9" s="1"/>
  <c r="AN104" i="9" s="1"/>
  <c r="AF104" i="9" s="1"/>
  <c r="AH104" i="9" s="1"/>
  <c r="L105" i="9"/>
  <c r="AK105" i="9" s="1"/>
  <c r="AN105" i="9" s="1"/>
  <c r="AF105" i="9" s="1"/>
  <c r="AH105" i="9" s="1"/>
  <c r="L106" i="9"/>
  <c r="AK106" i="9" s="1"/>
  <c r="AN106" i="9" s="1"/>
  <c r="AF106" i="9" s="1"/>
  <c r="AH106" i="9" s="1"/>
  <c r="L107" i="9"/>
  <c r="AK107" i="9" s="1"/>
  <c r="AN107" i="9" s="1"/>
  <c r="S107" i="9" s="1"/>
  <c r="L108" i="9"/>
  <c r="AK108" i="9" s="1"/>
  <c r="AN108" i="9" s="1"/>
  <c r="L109" i="9"/>
  <c r="AK109" i="9" s="1"/>
  <c r="AN109" i="9" s="1"/>
  <c r="AF109" i="9" s="1"/>
  <c r="AH109" i="9" s="1"/>
  <c r="L110" i="9"/>
  <c r="AK110" i="9" s="1"/>
  <c r="AN110" i="9" s="1"/>
  <c r="L111" i="9"/>
  <c r="AK111" i="9" s="1"/>
  <c r="AN111" i="9" s="1"/>
  <c r="AF111" i="9" s="1"/>
  <c r="AH111" i="9" s="1"/>
  <c r="L112" i="9"/>
  <c r="AK112" i="9" s="1"/>
  <c r="AN112" i="9" s="1"/>
  <c r="AF112" i="9" s="1"/>
  <c r="AH112" i="9" s="1"/>
  <c r="L113" i="9"/>
  <c r="AK113" i="9" s="1"/>
  <c r="AN113" i="9" s="1"/>
  <c r="AF113" i="9" s="1"/>
  <c r="AH113" i="9" s="1"/>
  <c r="L114" i="9"/>
  <c r="AK114" i="9" s="1"/>
  <c r="AN114" i="9" s="1"/>
  <c r="AF114" i="9" s="1"/>
  <c r="AH114" i="9" s="1"/>
  <c r="L115" i="9"/>
  <c r="AK115" i="9" s="1"/>
  <c r="AN115" i="9" s="1"/>
  <c r="S115" i="9" s="1"/>
  <c r="L116" i="9"/>
  <c r="AK116" i="9" s="1"/>
  <c r="AN116" i="9" s="1"/>
  <c r="AF116" i="9" s="1"/>
  <c r="AH116" i="9" s="1"/>
  <c r="L117" i="9"/>
  <c r="AK117" i="9" s="1"/>
  <c r="AN117" i="9" s="1"/>
  <c r="AF117" i="9" s="1"/>
  <c r="AH117" i="9" s="1"/>
  <c r="L118" i="9"/>
  <c r="AK118" i="9" s="1"/>
  <c r="AN118" i="9" s="1"/>
  <c r="L119" i="9"/>
  <c r="AK119" i="9" s="1"/>
  <c r="AN119" i="9" s="1"/>
  <c r="AF119" i="9" s="1"/>
  <c r="AH119" i="9" s="1"/>
  <c r="L120" i="9"/>
  <c r="AK120" i="9" s="1"/>
  <c r="AN120" i="9" s="1"/>
  <c r="AF120" i="9" s="1"/>
  <c r="AH120" i="9" s="1"/>
  <c r="L121" i="9"/>
  <c r="AK121" i="9" s="1"/>
  <c r="AN121" i="9" s="1"/>
  <c r="AF121" i="9" s="1"/>
  <c r="AH121" i="9" s="1"/>
  <c r="L122" i="9"/>
  <c r="AK122" i="9" s="1"/>
  <c r="AN122" i="9" s="1"/>
  <c r="AF122" i="9" s="1"/>
  <c r="AH122" i="9" s="1"/>
  <c r="L123" i="9"/>
  <c r="AK123" i="9" s="1"/>
  <c r="AN123" i="9" s="1"/>
  <c r="S123" i="9" s="1"/>
  <c r="L124" i="9"/>
  <c r="AK124" i="9" s="1"/>
  <c r="AN124" i="9" s="1"/>
  <c r="L125" i="9"/>
  <c r="AK125" i="9" s="1"/>
  <c r="AN125" i="9" s="1"/>
  <c r="L126" i="9"/>
  <c r="AK126" i="9" s="1"/>
  <c r="AN126" i="9" s="1"/>
  <c r="L127" i="9"/>
  <c r="AK127" i="9" s="1"/>
  <c r="AN127" i="9" s="1"/>
  <c r="AF127" i="9" s="1"/>
  <c r="AH127" i="9" s="1"/>
  <c r="L128" i="9"/>
  <c r="AK128" i="9" s="1"/>
  <c r="AN128" i="9" s="1"/>
  <c r="AF128" i="9" s="1"/>
  <c r="AH128" i="9" s="1"/>
  <c r="L129" i="9"/>
  <c r="AK129" i="9" s="1"/>
  <c r="AN129" i="9" s="1"/>
  <c r="AF129" i="9" s="1"/>
  <c r="AH129" i="9" s="1"/>
  <c r="L130" i="9"/>
  <c r="AK130" i="9" s="1"/>
  <c r="AN130" i="9" s="1"/>
  <c r="AF130" i="9" s="1"/>
  <c r="AH130" i="9" s="1"/>
  <c r="L131" i="9"/>
  <c r="AK131" i="9" s="1"/>
  <c r="AN131" i="9" s="1"/>
  <c r="S131" i="9" s="1"/>
  <c r="L132" i="9"/>
  <c r="AK132" i="9" s="1"/>
  <c r="AN132" i="9" s="1"/>
  <c r="AF132" i="9" s="1"/>
  <c r="AH132" i="9" s="1"/>
  <c r="L133" i="9"/>
  <c r="AK133" i="9" s="1"/>
  <c r="AN133" i="9" s="1"/>
  <c r="L135" i="9"/>
  <c r="AK135" i="9" s="1"/>
  <c r="AN135" i="9" s="1"/>
  <c r="AF135" i="9" s="1"/>
  <c r="AH135" i="9" s="1"/>
  <c r="L136" i="9"/>
  <c r="AK136" i="9" s="1"/>
  <c r="AN136" i="9" s="1"/>
  <c r="AF136" i="9" s="1"/>
  <c r="AH136" i="9" s="1"/>
  <c r="L137" i="9"/>
  <c r="AK137" i="9" s="1"/>
  <c r="AN137" i="9" s="1"/>
  <c r="AF137" i="9" s="1"/>
  <c r="AH137" i="9" s="1"/>
  <c r="L138" i="9"/>
  <c r="AK138" i="9" s="1"/>
  <c r="AN138" i="9" s="1"/>
  <c r="AF138" i="9" s="1"/>
  <c r="AH138" i="9" s="1"/>
  <c r="L139" i="9"/>
  <c r="AK139" i="9" s="1"/>
  <c r="AN139" i="9" s="1"/>
  <c r="S139" i="9" s="1"/>
  <c r="U139" i="9" s="1"/>
  <c r="L140" i="9"/>
  <c r="AK140" i="9" s="1"/>
  <c r="AN140" i="9" s="1"/>
  <c r="AF140" i="9" s="1"/>
  <c r="AH140" i="9" s="1"/>
  <c r="L141" i="9"/>
  <c r="AK141" i="9" s="1"/>
  <c r="AN141" i="9" s="1"/>
  <c r="L142" i="9"/>
  <c r="AK142" i="9" s="1"/>
  <c r="AN142" i="9" s="1"/>
  <c r="L143" i="9"/>
  <c r="AK143" i="9" s="1"/>
  <c r="AN143" i="9" s="1"/>
  <c r="AF143" i="9" s="1"/>
  <c r="AH143" i="9" s="1"/>
  <c r="L144" i="9"/>
  <c r="AK144" i="9" s="1"/>
  <c r="AN144" i="9" s="1"/>
  <c r="AF144" i="9" s="1"/>
  <c r="AH144" i="9" s="1"/>
  <c r="L145" i="9"/>
  <c r="AK145" i="9" s="1"/>
  <c r="AN145" i="9" s="1"/>
  <c r="AF145" i="9" s="1"/>
  <c r="AH145" i="9" s="1"/>
  <c r="L146" i="9"/>
  <c r="AK146" i="9" s="1"/>
  <c r="AN146" i="9" s="1"/>
  <c r="AF146" i="9" s="1"/>
  <c r="AH146" i="9" s="1"/>
  <c r="L147" i="9"/>
  <c r="AK147" i="9" s="1"/>
  <c r="AN147" i="9" s="1"/>
  <c r="S147" i="9" s="1"/>
  <c r="U147" i="9" s="1"/>
  <c r="L148" i="9"/>
  <c r="AK148" i="9" s="1"/>
  <c r="AN148" i="9" s="1"/>
  <c r="L149" i="9"/>
  <c r="AK149" i="9" s="1"/>
  <c r="AN149" i="9" s="1"/>
  <c r="L2" i="9"/>
  <c r="AK2" i="9" s="1"/>
  <c r="AN2" i="9" s="1"/>
  <c r="AO9" i="9" l="1"/>
  <c r="AF73" i="9"/>
  <c r="AH73" i="9" s="1"/>
  <c r="AO71" i="9"/>
  <c r="AF49" i="9"/>
  <c r="AH49" i="9" s="1"/>
  <c r="S39" i="9"/>
  <c r="W39" i="9" s="1"/>
  <c r="S96" i="9"/>
  <c r="W96" i="9" s="1"/>
  <c r="AO65" i="9"/>
  <c r="AF34" i="9"/>
  <c r="AH34" i="9" s="1"/>
  <c r="S31" i="9"/>
  <c r="W31" i="9" s="1"/>
  <c r="AO113" i="9"/>
  <c r="AO31" i="9"/>
  <c r="AF26" i="9"/>
  <c r="AH26" i="9" s="1"/>
  <c r="S129" i="9"/>
  <c r="W129" i="9" s="1"/>
  <c r="AO25" i="9"/>
  <c r="AF9" i="9"/>
  <c r="AH9" i="9" s="1"/>
  <c r="AO23" i="9"/>
  <c r="S137" i="9"/>
  <c r="AO98" i="9"/>
  <c r="AO55" i="9"/>
  <c r="AO24" i="9"/>
  <c r="AF75" i="9"/>
  <c r="AH75" i="9" s="1"/>
  <c r="AF33" i="9"/>
  <c r="AH33" i="9" s="1"/>
  <c r="S136" i="9"/>
  <c r="S90" i="9"/>
  <c r="U90" i="9" s="1"/>
  <c r="AF107" i="9"/>
  <c r="AH107" i="9" s="1"/>
  <c r="AO139" i="9"/>
  <c r="AO97" i="9"/>
  <c r="AO49" i="9"/>
  <c r="AF74" i="9"/>
  <c r="AH74" i="9" s="1"/>
  <c r="AF27" i="9"/>
  <c r="AH27" i="9" s="1"/>
  <c r="S130" i="9"/>
  <c r="U130" i="9" s="1"/>
  <c r="S89" i="9"/>
  <c r="W89" i="9" s="1"/>
  <c r="AO48" i="9"/>
  <c r="S88" i="9"/>
  <c r="AO137" i="9"/>
  <c r="AO90" i="9"/>
  <c r="AO47" i="9"/>
  <c r="AO8" i="9"/>
  <c r="AF57" i="9"/>
  <c r="AH57" i="9" s="1"/>
  <c r="AF25" i="9"/>
  <c r="AH25" i="9" s="1"/>
  <c r="S114" i="9"/>
  <c r="U114" i="9" s="1"/>
  <c r="S63" i="9"/>
  <c r="W63" i="9" s="1"/>
  <c r="AO91" i="9"/>
  <c r="AO121" i="9"/>
  <c r="AO73" i="9"/>
  <c r="AO41" i="9"/>
  <c r="AO7" i="9"/>
  <c r="AF51" i="9"/>
  <c r="AH51" i="9" s="1"/>
  <c r="AF11" i="9"/>
  <c r="AH11" i="9" s="1"/>
  <c r="S113" i="9"/>
  <c r="S55" i="9"/>
  <c r="W55" i="9" s="1"/>
  <c r="AO115" i="9"/>
  <c r="AO72" i="9"/>
  <c r="AO32" i="9"/>
  <c r="AF50" i="9"/>
  <c r="AH50" i="9" s="1"/>
  <c r="AF10" i="9"/>
  <c r="AH10" i="9" s="1"/>
  <c r="S112" i="9"/>
  <c r="W112" i="9" s="1"/>
  <c r="S47" i="9"/>
  <c r="W47" i="9" s="1"/>
  <c r="AO131" i="9"/>
  <c r="AF147" i="9"/>
  <c r="AH147" i="9" s="1"/>
  <c r="AF67" i="9"/>
  <c r="AH67" i="9" s="1"/>
  <c r="AF3" i="9"/>
  <c r="AH3" i="9" s="1"/>
  <c r="AO130" i="9"/>
  <c r="AO107" i="9"/>
  <c r="AO89" i="9"/>
  <c r="AO64" i="9"/>
  <c r="AF91" i="9"/>
  <c r="AH91" i="9" s="1"/>
  <c r="AF66" i="9"/>
  <c r="AH66" i="9" s="1"/>
  <c r="AF43" i="9"/>
  <c r="AH43" i="9" s="1"/>
  <c r="S146" i="9"/>
  <c r="U146" i="9" s="1"/>
  <c r="S128" i="9"/>
  <c r="W128" i="9" s="1"/>
  <c r="S105" i="9"/>
  <c r="W105" i="9" s="1"/>
  <c r="S80" i="9"/>
  <c r="U80" i="9" s="1"/>
  <c r="AO147" i="9"/>
  <c r="AO129" i="9"/>
  <c r="AO106" i="9"/>
  <c r="AO81" i="9"/>
  <c r="AO63" i="9"/>
  <c r="AO40" i="9"/>
  <c r="AO17" i="9"/>
  <c r="AF139" i="9"/>
  <c r="AH139" i="9" s="1"/>
  <c r="AF83" i="9"/>
  <c r="AH83" i="9" s="1"/>
  <c r="AF65" i="9"/>
  <c r="AH65" i="9" s="1"/>
  <c r="AF42" i="9"/>
  <c r="AH42" i="9" s="1"/>
  <c r="AF19" i="9"/>
  <c r="AH19" i="9" s="1"/>
  <c r="S145" i="9"/>
  <c r="W145" i="9" s="1"/>
  <c r="S122" i="9"/>
  <c r="U122" i="9" s="1"/>
  <c r="S104" i="9"/>
  <c r="W104" i="9" s="1"/>
  <c r="S79" i="9"/>
  <c r="W79" i="9" s="1"/>
  <c r="S23" i="9"/>
  <c r="W23" i="9" s="1"/>
  <c r="AO146" i="9"/>
  <c r="AO123" i="9"/>
  <c r="AO105" i="9"/>
  <c r="AO80" i="9"/>
  <c r="AO57" i="9"/>
  <c r="AO39" i="9"/>
  <c r="AO16" i="9"/>
  <c r="AF131" i="9"/>
  <c r="AH131" i="9" s="1"/>
  <c r="AF82" i="9"/>
  <c r="AH82" i="9" s="1"/>
  <c r="AF59" i="9"/>
  <c r="AH59" i="9" s="1"/>
  <c r="AF41" i="9"/>
  <c r="AH41" i="9" s="1"/>
  <c r="AF18" i="9"/>
  <c r="AH18" i="9" s="1"/>
  <c r="S144" i="9"/>
  <c r="W144" i="9" s="1"/>
  <c r="S121" i="9"/>
  <c r="U121" i="9" s="1"/>
  <c r="S98" i="9"/>
  <c r="U98" i="9" s="1"/>
  <c r="S72" i="9"/>
  <c r="W72" i="9" s="1"/>
  <c r="S15" i="9"/>
  <c r="U15" i="9" s="1"/>
  <c r="AF99" i="9"/>
  <c r="AH99" i="9" s="1"/>
  <c r="W147" i="9"/>
  <c r="AO145" i="9"/>
  <c r="AO122" i="9"/>
  <c r="AO99" i="9"/>
  <c r="AO79" i="9"/>
  <c r="AO56" i="9"/>
  <c r="AO33" i="9"/>
  <c r="AO15" i="9"/>
  <c r="AF123" i="9"/>
  <c r="AH123" i="9" s="1"/>
  <c r="AF81" i="9"/>
  <c r="AH81" i="9" s="1"/>
  <c r="AF58" i="9"/>
  <c r="AH58" i="9" s="1"/>
  <c r="AF35" i="9"/>
  <c r="AH35" i="9" s="1"/>
  <c r="AF17" i="9"/>
  <c r="AH17" i="9" s="1"/>
  <c r="S138" i="9"/>
  <c r="U138" i="9" s="1"/>
  <c r="S120" i="9"/>
  <c r="W120" i="9" s="1"/>
  <c r="S97" i="9"/>
  <c r="S71" i="9"/>
  <c r="W71" i="9" s="1"/>
  <c r="S7" i="9"/>
  <c r="U7" i="9" s="1"/>
  <c r="AF142" i="9"/>
  <c r="AH142" i="9" s="1"/>
  <c r="AO142" i="9"/>
  <c r="S142" i="9"/>
  <c r="W142" i="9" s="1"/>
  <c r="S78" i="9"/>
  <c r="W78" i="9" s="1"/>
  <c r="AF78" i="9"/>
  <c r="AH78" i="9" s="1"/>
  <c r="AO78" i="9"/>
  <c r="AF30" i="9"/>
  <c r="AH30" i="9" s="1"/>
  <c r="AO30" i="9"/>
  <c r="AF22" i="9"/>
  <c r="AH22" i="9" s="1"/>
  <c r="AO22" i="9"/>
  <c r="AF14" i="9"/>
  <c r="AH14" i="9" s="1"/>
  <c r="AO14" i="9"/>
  <c r="AF6" i="9"/>
  <c r="AH6" i="9" s="1"/>
  <c r="AO6" i="9"/>
  <c r="W113" i="9"/>
  <c r="U113" i="9"/>
  <c r="S30" i="9"/>
  <c r="W30" i="9" s="1"/>
  <c r="W139" i="9"/>
  <c r="AF134" i="9"/>
  <c r="AH134" i="9" s="1"/>
  <c r="AO134" i="9"/>
  <c r="S134" i="9"/>
  <c r="W134" i="9" s="1"/>
  <c r="AF86" i="9"/>
  <c r="AH86" i="9" s="1"/>
  <c r="AO86" i="9"/>
  <c r="S86" i="9"/>
  <c r="W86" i="9" s="1"/>
  <c r="AO133" i="9"/>
  <c r="S133" i="9"/>
  <c r="W133" i="9" s="1"/>
  <c r="AF77" i="9"/>
  <c r="AH77" i="9" s="1"/>
  <c r="AO77" i="9"/>
  <c r="S77" i="9"/>
  <c r="W77" i="9" s="1"/>
  <c r="AF45" i="9"/>
  <c r="AH45" i="9" s="1"/>
  <c r="S45" i="9"/>
  <c r="W45" i="9" s="1"/>
  <c r="AO45" i="9"/>
  <c r="AF21" i="9"/>
  <c r="AH21" i="9" s="1"/>
  <c r="AO21" i="9"/>
  <c r="S21" i="9"/>
  <c r="W21" i="9" s="1"/>
  <c r="AF13" i="9"/>
  <c r="AH13" i="9" s="1"/>
  <c r="S13" i="9"/>
  <c r="W13" i="9" s="1"/>
  <c r="AO13" i="9"/>
  <c r="AF5" i="9"/>
  <c r="AH5" i="9" s="1"/>
  <c r="AO5" i="9"/>
  <c r="S5" i="9"/>
  <c r="AF133" i="9"/>
  <c r="AH133" i="9" s="1"/>
  <c r="AF126" i="9"/>
  <c r="AH126" i="9" s="1"/>
  <c r="AO126" i="9"/>
  <c r="S126" i="9"/>
  <c r="W126" i="9" s="1"/>
  <c r="AF70" i="9"/>
  <c r="AH70" i="9" s="1"/>
  <c r="AO70" i="9"/>
  <c r="S70" i="9"/>
  <c r="W70" i="9" s="1"/>
  <c r="AO149" i="9"/>
  <c r="S149" i="9"/>
  <c r="W149" i="9" s="1"/>
  <c r="AO101" i="9"/>
  <c r="S101" i="9"/>
  <c r="W101" i="9" s="1"/>
  <c r="AF69" i="9"/>
  <c r="AH69" i="9" s="1"/>
  <c r="AO69" i="9"/>
  <c r="S69" i="9"/>
  <c r="W69" i="9" s="1"/>
  <c r="AF37" i="9"/>
  <c r="AH37" i="9" s="1"/>
  <c r="AO37" i="9"/>
  <c r="S37" i="9"/>
  <c r="W37" i="9" s="1"/>
  <c r="AO140" i="9"/>
  <c r="S140" i="9"/>
  <c r="W140" i="9" s="1"/>
  <c r="AO124" i="9"/>
  <c r="S124" i="9"/>
  <c r="W124" i="9" s="1"/>
  <c r="AO108" i="9"/>
  <c r="S108" i="9"/>
  <c r="AO100" i="9"/>
  <c r="S100" i="9"/>
  <c r="AO92" i="9"/>
  <c r="S92" i="9"/>
  <c r="AF76" i="9"/>
  <c r="AH76" i="9" s="1"/>
  <c r="AO76" i="9"/>
  <c r="S76" i="9"/>
  <c r="AF68" i="9"/>
  <c r="AH68" i="9" s="1"/>
  <c r="AO68" i="9"/>
  <c r="S68" i="9"/>
  <c r="AF60" i="9"/>
  <c r="AH60" i="9" s="1"/>
  <c r="AO60" i="9"/>
  <c r="S60" i="9"/>
  <c r="W60" i="9" s="1"/>
  <c r="AF52" i="9"/>
  <c r="AH52" i="9" s="1"/>
  <c r="AO52" i="9"/>
  <c r="S52" i="9"/>
  <c r="AF44" i="9"/>
  <c r="AH44" i="9" s="1"/>
  <c r="AO44" i="9"/>
  <c r="S44" i="9"/>
  <c r="AF36" i="9"/>
  <c r="AH36" i="9" s="1"/>
  <c r="AO36" i="9"/>
  <c r="S36" i="9"/>
  <c r="W36" i="9" s="1"/>
  <c r="AF28" i="9"/>
  <c r="AH28" i="9" s="1"/>
  <c r="AO28" i="9"/>
  <c r="S28" i="9"/>
  <c r="AF20" i="9"/>
  <c r="AH20" i="9" s="1"/>
  <c r="AO20" i="9"/>
  <c r="S20" i="9"/>
  <c r="W20" i="9" s="1"/>
  <c r="AF12" i="9"/>
  <c r="AH12" i="9" s="1"/>
  <c r="AO12" i="9"/>
  <c r="S12" i="9"/>
  <c r="W12" i="9" s="1"/>
  <c r="AF4" i="9"/>
  <c r="AH4" i="9" s="1"/>
  <c r="AO4" i="9"/>
  <c r="S4" i="9"/>
  <c r="W4" i="9" s="1"/>
  <c r="S22" i="9"/>
  <c r="U22" i="9" s="1"/>
  <c r="W137" i="9"/>
  <c r="U137" i="9"/>
  <c r="AF2" i="9"/>
  <c r="AH2" i="9" s="1"/>
  <c r="AO2" i="9"/>
  <c r="S2" i="9"/>
  <c r="U2" i="9" s="1"/>
  <c r="AF94" i="9"/>
  <c r="AH94" i="9" s="1"/>
  <c r="AO94" i="9"/>
  <c r="S94" i="9"/>
  <c r="W94" i="9" s="1"/>
  <c r="AF54" i="9"/>
  <c r="AH54" i="9" s="1"/>
  <c r="AO54" i="9"/>
  <c r="AO125" i="9"/>
  <c r="S125" i="9"/>
  <c r="W125" i="9" s="1"/>
  <c r="AF53" i="9"/>
  <c r="AH53" i="9" s="1"/>
  <c r="AO53" i="9"/>
  <c r="S53" i="9"/>
  <c r="W53" i="9" s="1"/>
  <c r="AO148" i="9"/>
  <c r="S148" i="9"/>
  <c r="W148" i="9" s="1"/>
  <c r="AO116" i="9"/>
  <c r="S116" i="9"/>
  <c r="U131" i="9"/>
  <c r="W131" i="9"/>
  <c r="U123" i="9"/>
  <c r="W123" i="9"/>
  <c r="U115" i="9"/>
  <c r="W115" i="9"/>
  <c r="U107" i="9"/>
  <c r="W107" i="9"/>
  <c r="U99" i="9"/>
  <c r="W99" i="9"/>
  <c r="U91" i="9"/>
  <c r="W91" i="9"/>
  <c r="AF149" i="9"/>
  <c r="AH149" i="9" s="1"/>
  <c r="AF108" i="9"/>
  <c r="AH108" i="9" s="1"/>
  <c r="AF118" i="9"/>
  <c r="AH118" i="9" s="1"/>
  <c r="AO118" i="9"/>
  <c r="S118" i="9"/>
  <c r="W118" i="9" s="1"/>
  <c r="AF62" i="9"/>
  <c r="AH62" i="9" s="1"/>
  <c r="AO62" i="9"/>
  <c r="AO141" i="9"/>
  <c r="S141" i="9"/>
  <c r="W141" i="9" s="1"/>
  <c r="AO93" i="9"/>
  <c r="S93" i="9"/>
  <c r="W93" i="9" s="1"/>
  <c r="AF61" i="9"/>
  <c r="AH61" i="9" s="1"/>
  <c r="S61" i="9"/>
  <c r="W61" i="9" s="1"/>
  <c r="AO61" i="9"/>
  <c r="AF29" i="9"/>
  <c r="AH29" i="9" s="1"/>
  <c r="S29" i="9"/>
  <c r="AO29" i="9"/>
  <c r="AO132" i="9"/>
  <c r="S132" i="9"/>
  <c r="W132" i="9" s="1"/>
  <c r="AF148" i="9"/>
  <c r="AH148" i="9" s="1"/>
  <c r="AF125" i="9"/>
  <c r="AH125" i="9" s="1"/>
  <c r="U145" i="9"/>
  <c r="S14" i="9"/>
  <c r="U14" i="9" s="1"/>
  <c r="U81" i="9"/>
  <c r="AF102" i="9"/>
  <c r="AH102" i="9" s="1"/>
  <c r="AO102" i="9"/>
  <c r="S102" i="9"/>
  <c r="W102" i="9" s="1"/>
  <c r="AF46" i="9"/>
  <c r="AH46" i="9" s="1"/>
  <c r="AO46" i="9"/>
  <c r="AO109" i="9"/>
  <c r="S109" i="9"/>
  <c r="W109" i="9" s="1"/>
  <c r="W73" i="9"/>
  <c r="U73" i="9"/>
  <c r="W41" i="9"/>
  <c r="U41" i="9"/>
  <c r="W33" i="9"/>
  <c r="U33" i="9"/>
  <c r="AF124" i="9"/>
  <c r="AH124" i="9" s="1"/>
  <c r="AF101" i="9"/>
  <c r="AH101" i="9" s="1"/>
  <c r="U49" i="9"/>
  <c r="AF110" i="9"/>
  <c r="AH110" i="9" s="1"/>
  <c r="AO110" i="9"/>
  <c r="S110" i="9"/>
  <c r="W110" i="9" s="1"/>
  <c r="AF38" i="9"/>
  <c r="AH38" i="9" s="1"/>
  <c r="AO38" i="9"/>
  <c r="AO117" i="9"/>
  <c r="S117" i="9"/>
  <c r="W117" i="9" s="1"/>
  <c r="W40" i="9"/>
  <c r="U40" i="9"/>
  <c r="AF141" i="9"/>
  <c r="AH141" i="9" s="1"/>
  <c r="AF100" i="9"/>
  <c r="AH100" i="9" s="1"/>
  <c r="W97" i="9"/>
  <c r="U97" i="9"/>
  <c r="S38" i="9"/>
  <c r="W38" i="9" s="1"/>
  <c r="S6" i="9"/>
  <c r="U6" i="9" s="1"/>
  <c r="U48" i="9"/>
  <c r="AO144" i="9"/>
  <c r="AO136" i="9"/>
  <c r="AO128" i="9"/>
  <c r="AO120" i="9"/>
  <c r="AO112" i="9"/>
  <c r="AO104" i="9"/>
  <c r="AO96" i="9"/>
  <c r="AO88" i="9"/>
  <c r="AF64" i="9"/>
  <c r="AH64" i="9" s="1"/>
  <c r="AF56" i="9"/>
  <c r="AH56" i="9" s="1"/>
  <c r="AF48" i="9"/>
  <c r="AH48" i="9" s="1"/>
  <c r="AF40" i="9"/>
  <c r="AH40" i="9" s="1"/>
  <c r="AF32" i="9"/>
  <c r="AH32" i="9" s="1"/>
  <c r="AF24" i="9"/>
  <c r="AH24" i="9" s="1"/>
  <c r="AF16" i="9"/>
  <c r="AH16" i="9" s="1"/>
  <c r="AF8" i="9"/>
  <c r="AH8" i="9" s="1"/>
  <c r="S143" i="9"/>
  <c r="W143" i="9" s="1"/>
  <c r="S135" i="9"/>
  <c r="W135" i="9" s="1"/>
  <c r="S127" i="9"/>
  <c r="W127" i="9" s="1"/>
  <c r="S119" i="9"/>
  <c r="W119" i="9" s="1"/>
  <c r="S111" i="9"/>
  <c r="W111" i="9" s="1"/>
  <c r="S103" i="9"/>
  <c r="W103" i="9" s="1"/>
  <c r="S95" i="9"/>
  <c r="W95" i="9" s="1"/>
  <c r="S87" i="9"/>
  <c r="W87" i="9" s="1"/>
  <c r="AO143" i="9"/>
  <c r="AO135" i="9"/>
  <c r="AO127" i="9"/>
  <c r="AO119" i="9"/>
  <c r="AO111" i="9"/>
  <c r="AO103" i="9"/>
  <c r="AO95" i="9"/>
  <c r="AO87" i="9"/>
  <c r="S59" i="9"/>
  <c r="U59" i="9" s="1"/>
  <c r="S51" i="9"/>
  <c r="U51" i="9" s="1"/>
  <c r="S43" i="9"/>
  <c r="U43" i="9" s="1"/>
  <c r="S35" i="9"/>
  <c r="U35" i="9" s="1"/>
  <c r="S27" i="9"/>
  <c r="W27" i="9" s="1"/>
  <c r="S19" i="9"/>
  <c r="W19" i="9" s="1"/>
  <c r="S11" i="9"/>
  <c r="W11" i="9" s="1"/>
  <c r="S3" i="9"/>
  <c r="W3" i="9" s="1"/>
  <c r="U120" i="9"/>
  <c r="S66" i="9"/>
  <c r="S83" i="9"/>
  <c r="S75" i="9"/>
  <c r="S67" i="9"/>
  <c r="U67" i="9" s="1"/>
  <c r="S58" i="9"/>
  <c r="U58" i="9" s="1"/>
  <c r="S50" i="9"/>
  <c r="U50" i="9" s="1"/>
  <c r="S42" i="9"/>
  <c r="U42" i="9" s="1"/>
  <c r="S34" i="9"/>
  <c r="U34" i="9" s="1"/>
  <c r="S26" i="9"/>
  <c r="W26" i="9" s="1"/>
  <c r="S18" i="9"/>
  <c r="W18" i="9" s="1"/>
  <c r="S10" i="9"/>
  <c r="W10" i="9" s="1"/>
  <c r="U96" i="9"/>
  <c r="S82" i="9"/>
  <c r="U82" i="9" s="1"/>
  <c r="S74" i="9"/>
  <c r="U74" i="9" s="1"/>
  <c r="AE117" i="4"/>
  <c r="AG117" i="4" s="1"/>
  <c r="AN117" i="4"/>
  <c r="AE21" i="4"/>
  <c r="AG21" i="4" s="1"/>
  <c r="AN21" i="4"/>
  <c r="AE85" i="4"/>
  <c r="AG85" i="4" s="1"/>
  <c r="AN85" i="4"/>
  <c r="AE61" i="4"/>
  <c r="AG61" i="4" s="1"/>
  <c r="AN61" i="4"/>
  <c r="AG93" i="4"/>
  <c r="AN53" i="4"/>
  <c r="AN15" i="4"/>
  <c r="AE15" i="4"/>
  <c r="AG15" i="4" s="1"/>
  <c r="AN79" i="4"/>
  <c r="AE79" i="4"/>
  <c r="AG79" i="4" s="1"/>
  <c r="AN71" i="4"/>
  <c r="AE71" i="4"/>
  <c r="AG71" i="4" s="1"/>
  <c r="AN111" i="4"/>
  <c r="AE111" i="4"/>
  <c r="AG111" i="4" s="1"/>
  <c r="AN87" i="4"/>
  <c r="AE87" i="4"/>
  <c r="AG87" i="4" s="1"/>
  <c r="AN23" i="4"/>
  <c r="AE23" i="4"/>
  <c r="AG23" i="4" s="1"/>
  <c r="AN7" i="4"/>
  <c r="AE7" i="4"/>
  <c r="AG7" i="4" s="1"/>
  <c r="AN47" i="4"/>
  <c r="AE47" i="4"/>
  <c r="AG47" i="4" s="1"/>
  <c r="AN63" i="4"/>
  <c r="AE63" i="4"/>
  <c r="AG63" i="4" s="1"/>
  <c r="AN103" i="4"/>
  <c r="AE103" i="4"/>
  <c r="AG103" i="4" s="1"/>
  <c r="AN39" i="4"/>
  <c r="AE39" i="4"/>
  <c r="AG39" i="4" s="1"/>
  <c r="AN120" i="4"/>
  <c r="AE120" i="4"/>
  <c r="AG120" i="4" s="1"/>
  <c r="AN96" i="4"/>
  <c r="AE96" i="4"/>
  <c r="AG96" i="4" s="1"/>
  <c r="AN80" i="4"/>
  <c r="AE80" i="4"/>
  <c r="AG80" i="4" s="1"/>
  <c r="AN64" i="4"/>
  <c r="AE64" i="4"/>
  <c r="AG64" i="4" s="1"/>
  <c r="AE40" i="4"/>
  <c r="AG40" i="4" s="1"/>
  <c r="AN40" i="4"/>
  <c r="AE32" i="4"/>
  <c r="AG32" i="4" s="1"/>
  <c r="AN32" i="4"/>
  <c r="AE8" i="4"/>
  <c r="AG8" i="4" s="1"/>
  <c r="AN8" i="4"/>
  <c r="AN114" i="4"/>
  <c r="AE114" i="4"/>
  <c r="AG114" i="4" s="1"/>
  <c r="AE50" i="4"/>
  <c r="AG50" i="4" s="1"/>
  <c r="AN50" i="4"/>
  <c r="AE116" i="4"/>
  <c r="AG116" i="4" s="1"/>
  <c r="AE48" i="4"/>
  <c r="AG48" i="4" s="1"/>
  <c r="AN90" i="4"/>
  <c r="AE90" i="4"/>
  <c r="AG90" i="4" s="1"/>
  <c r="AE26" i="4"/>
  <c r="AG26" i="4" s="1"/>
  <c r="AN26" i="4"/>
  <c r="AE108" i="4"/>
  <c r="AG108" i="4" s="1"/>
  <c r="AN104" i="4"/>
  <c r="AE104" i="4"/>
  <c r="AG104" i="4" s="1"/>
  <c r="AN72" i="4"/>
  <c r="AE72" i="4"/>
  <c r="AG72" i="4" s="1"/>
  <c r="AN24" i="4"/>
  <c r="AE24" i="4"/>
  <c r="AG24" i="4" s="1"/>
  <c r="AN118" i="4"/>
  <c r="AE118" i="4"/>
  <c r="AG118" i="4" s="1"/>
  <c r="AN110" i="4"/>
  <c r="AE110" i="4"/>
  <c r="AG110" i="4" s="1"/>
  <c r="AN94" i="4"/>
  <c r="AE94" i="4"/>
  <c r="AG94" i="4" s="1"/>
  <c r="AN86" i="4"/>
  <c r="AE86" i="4"/>
  <c r="AG86" i="4" s="1"/>
  <c r="AE78" i="4"/>
  <c r="AG78" i="4" s="1"/>
  <c r="AN78" i="4"/>
  <c r="AE70" i="4"/>
  <c r="AG70" i="4" s="1"/>
  <c r="AN70" i="4"/>
  <c r="AE62" i="4"/>
  <c r="AG62" i="4" s="1"/>
  <c r="AN62" i="4"/>
  <c r="AE54" i="4"/>
  <c r="AG54" i="4" s="1"/>
  <c r="AN54" i="4"/>
  <c r="AE46" i="4"/>
  <c r="AG46" i="4" s="1"/>
  <c r="AN46" i="4"/>
  <c r="AE38" i="4"/>
  <c r="AG38" i="4" s="1"/>
  <c r="AN38" i="4"/>
  <c r="AE30" i="4"/>
  <c r="AG30" i="4" s="1"/>
  <c r="AN30" i="4"/>
  <c r="AE22" i="4"/>
  <c r="AG22" i="4" s="1"/>
  <c r="AN22" i="4"/>
  <c r="R22" i="4"/>
  <c r="AE14" i="4"/>
  <c r="AG14" i="4" s="1"/>
  <c r="AN14" i="4"/>
  <c r="AE6" i="4"/>
  <c r="AG6" i="4" s="1"/>
  <c r="AN6" i="4"/>
  <c r="AN119" i="4"/>
  <c r="AE119" i="4"/>
  <c r="AG119" i="4" s="1"/>
  <c r="AN55" i="4"/>
  <c r="AE55" i="4"/>
  <c r="AG55" i="4" s="1"/>
  <c r="AN109" i="4"/>
  <c r="AN45" i="4"/>
  <c r="AE100" i="4"/>
  <c r="AG100" i="4" s="1"/>
  <c r="AE28" i="4"/>
  <c r="AG28" i="4" s="1"/>
  <c r="AN112" i="4"/>
  <c r="AE112" i="4"/>
  <c r="AG112" i="4" s="1"/>
  <c r="AN88" i="4"/>
  <c r="AE88" i="4"/>
  <c r="AG88" i="4" s="1"/>
  <c r="AN56" i="4"/>
  <c r="AE56" i="4"/>
  <c r="AG56" i="4" s="1"/>
  <c r="AN16" i="4"/>
  <c r="AE16" i="4"/>
  <c r="AG16" i="4" s="1"/>
  <c r="AN102" i="4"/>
  <c r="AE102" i="4"/>
  <c r="AG102" i="4" s="1"/>
  <c r="AN106" i="4"/>
  <c r="AE106" i="4"/>
  <c r="AG106" i="4" s="1"/>
  <c r="AE42" i="4"/>
  <c r="AG42" i="4" s="1"/>
  <c r="AN42" i="4"/>
  <c r="AN101" i="4"/>
  <c r="AN37" i="4"/>
  <c r="AE92" i="4"/>
  <c r="AG92" i="4" s="1"/>
  <c r="AE17" i="4"/>
  <c r="AG17" i="4" s="1"/>
  <c r="AE68" i="4"/>
  <c r="AG68" i="4" s="1"/>
  <c r="AN68" i="4"/>
  <c r="AE60" i="4"/>
  <c r="AG60" i="4" s="1"/>
  <c r="AN60" i="4"/>
  <c r="AE52" i="4"/>
  <c r="AG52" i="4" s="1"/>
  <c r="AN52" i="4"/>
  <c r="AE44" i="4"/>
  <c r="AG44" i="4" s="1"/>
  <c r="AN44" i="4"/>
  <c r="AE36" i="4"/>
  <c r="AG36" i="4" s="1"/>
  <c r="AN36" i="4"/>
  <c r="AE20" i="4"/>
  <c r="AG20" i="4" s="1"/>
  <c r="AN20" i="4"/>
  <c r="AE12" i="4"/>
  <c r="AG12" i="4" s="1"/>
  <c r="AN12" i="4"/>
  <c r="AE4" i="4"/>
  <c r="AG4" i="4" s="1"/>
  <c r="AN4" i="4"/>
  <c r="AN82" i="4"/>
  <c r="AE82" i="4"/>
  <c r="AG82" i="4" s="1"/>
  <c r="AE18" i="4"/>
  <c r="AG18" i="4" s="1"/>
  <c r="AN18" i="4"/>
  <c r="AN93" i="4"/>
  <c r="AN29" i="4"/>
  <c r="AE84" i="4"/>
  <c r="AG84" i="4" s="1"/>
  <c r="AN115" i="4"/>
  <c r="AE115" i="4"/>
  <c r="AG115" i="4" s="1"/>
  <c r="AN91" i="4"/>
  <c r="AE91" i="4"/>
  <c r="AG91" i="4" s="1"/>
  <c r="AN83" i="4"/>
  <c r="AE83" i="4"/>
  <c r="AG83" i="4" s="1"/>
  <c r="AE67" i="4"/>
  <c r="AG67" i="4" s="1"/>
  <c r="AN67" i="4"/>
  <c r="AE59" i="4"/>
  <c r="AG59" i="4" s="1"/>
  <c r="AN59" i="4"/>
  <c r="AE43" i="4"/>
  <c r="AG43" i="4" s="1"/>
  <c r="AN43" i="4"/>
  <c r="AE35" i="4"/>
  <c r="AG35" i="4" s="1"/>
  <c r="AN35" i="4"/>
  <c r="AN27" i="4"/>
  <c r="AE27" i="4"/>
  <c r="AG27" i="4" s="1"/>
  <c r="AE19" i="4"/>
  <c r="AG19" i="4" s="1"/>
  <c r="AN19" i="4"/>
  <c r="AE11" i="4"/>
  <c r="AG11" i="4" s="1"/>
  <c r="AN11" i="4"/>
  <c r="AE3" i="4"/>
  <c r="AG3" i="4" s="1"/>
  <c r="AN3" i="4"/>
  <c r="AE58" i="4"/>
  <c r="AG58" i="4" s="1"/>
  <c r="AN58" i="4"/>
  <c r="AN95" i="4"/>
  <c r="AE95" i="4"/>
  <c r="AG95" i="4" s="1"/>
  <c r="AE31" i="4"/>
  <c r="AG31" i="4" s="1"/>
  <c r="AN31" i="4"/>
  <c r="AE75" i="4"/>
  <c r="AG75" i="4" s="1"/>
  <c r="AE76" i="4"/>
  <c r="AG76" i="4" s="1"/>
  <c r="AN76" i="4"/>
  <c r="AN99" i="4"/>
  <c r="AE99" i="4"/>
  <c r="AG99" i="4" s="1"/>
  <c r="AE51" i="4"/>
  <c r="AG51" i="4" s="1"/>
  <c r="AN51" i="4"/>
  <c r="AN98" i="4"/>
  <c r="AE98" i="4"/>
  <c r="AG98" i="4" s="1"/>
  <c r="AE34" i="4"/>
  <c r="AG34" i="4" s="1"/>
  <c r="AN34" i="4"/>
  <c r="AN77" i="4"/>
  <c r="AN13" i="4"/>
  <c r="AE66" i="4"/>
  <c r="AG66" i="4" s="1"/>
  <c r="AN107" i="4"/>
  <c r="AE107" i="4"/>
  <c r="AG107" i="4" s="1"/>
  <c r="AN2" i="4"/>
  <c r="AE2" i="4"/>
  <c r="AG2" i="4" s="1"/>
  <c r="AN113" i="4"/>
  <c r="AE113" i="4"/>
  <c r="AG113" i="4" s="1"/>
  <c r="AN105" i="4"/>
  <c r="AE105" i="4"/>
  <c r="AG105" i="4" s="1"/>
  <c r="AN97" i="4"/>
  <c r="AE97" i="4"/>
  <c r="AG97" i="4" s="1"/>
  <c r="AN89" i="4"/>
  <c r="AE89" i="4"/>
  <c r="AG89" i="4" s="1"/>
  <c r="AN81" i="4"/>
  <c r="AE81" i="4"/>
  <c r="AG81" i="4" s="1"/>
  <c r="AN73" i="4"/>
  <c r="AE73" i="4"/>
  <c r="AG73" i="4" s="1"/>
  <c r="AN65" i="4"/>
  <c r="AE65" i="4"/>
  <c r="AG65" i="4" s="1"/>
  <c r="AE49" i="4"/>
  <c r="AG49" i="4" s="1"/>
  <c r="AN49" i="4"/>
  <c r="AE41" i="4"/>
  <c r="AG41" i="4" s="1"/>
  <c r="AN41" i="4"/>
  <c r="AE33" i="4"/>
  <c r="AG33" i="4" s="1"/>
  <c r="AN33" i="4"/>
  <c r="AN25" i="4"/>
  <c r="AE25" i="4"/>
  <c r="AG25" i="4" s="1"/>
  <c r="AE9" i="4"/>
  <c r="AG9" i="4" s="1"/>
  <c r="AN9" i="4"/>
  <c r="AN74" i="4"/>
  <c r="AE74" i="4"/>
  <c r="AG74" i="4" s="1"/>
  <c r="AE10" i="4"/>
  <c r="AG10" i="4" s="1"/>
  <c r="AN10" i="4"/>
  <c r="AN69" i="4"/>
  <c r="AN5" i="4"/>
  <c r="AE57" i="4"/>
  <c r="AG57" i="4" s="1"/>
  <c r="R76" i="4"/>
  <c r="R31" i="4"/>
  <c r="AK85" i="9"/>
  <c r="AN85" i="9" s="1"/>
  <c r="AK84" i="9"/>
  <c r="AN84" i="9" s="1"/>
  <c r="U72" i="9"/>
  <c r="U65" i="9"/>
  <c r="U64" i="9"/>
  <c r="U60" i="9"/>
  <c r="U57" i="9"/>
  <c r="U56" i="9"/>
  <c r="U32" i="9"/>
  <c r="W130" i="9"/>
  <c r="W114" i="9"/>
  <c r="W106" i="9"/>
  <c r="W98" i="9"/>
  <c r="U135" i="9"/>
  <c r="U63" i="9"/>
  <c r="U55" i="9"/>
  <c r="U47" i="9"/>
  <c r="U39" i="9"/>
  <c r="U31" i="9"/>
  <c r="U134" i="9"/>
  <c r="U126" i="9"/>
  <c r="U94" i="9"/>
  <c r="U78" i="9"/>
  <c r="U62" i="9"/>
  <c r="U54" i="9"/>
  <c r="U46" i="9"/>
  <c r="U77" i="9"/>
  <c r="U53" i="9"/>
  <c r="U37" i="9"/>
  <c r="U26" i="9"/>
  <c r="U25" i="9"/>
  <c r="U24" i="9"/>
  <c r="U21" i="9"/>
  <c r="W17" i="9"/>
  <c r="W9" i="9"/>
  <c r="U20" i="9"/>
  <c r="W16" i="9"/>
  <c r="W8" i="9"/>
  <c r="W15" i="9"/>
  <c r="W7" i="9"/>
  <c r="A149" i="9"/>
  <c r="A148" i="9"/>
  <c r="A147" i="9"/>
  <c r="A146" i="9"/>
  <c r="A145" i="9"/>
  <c r="A144" i="9"/>
  <c r="A143" i="9"/>
  <c r="A142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A2" i="9"/>
  <c r="E129" i="9"/>
  <c r="F129" i="9" s="1"/>
  <c r="E130" i="9"/>
  <c r="F130" i="9" s="1"/>
  <c r="E131" i="9"/>
  <c r="F131" i="9" s="1"/>
  <c r="E132" i="9"/>
  <c r="F132" i="9" s="1"/>
  <c r="E133" i="9"/>
  <c r="F133" i="9" s="1"/>
  <c r="E134" i="9"/>
  <c r="F134" i="9" s="1"/>
  <c r="E135" i="9"/>
  <c r="F135" i="9" s="1"/>
  <c r="E136" i="9"/>
  <c r="F136" i="9" s="1"/>
  <c r="E137" i="9"/>
  <c r="F137" i="9" s="1"/>
  <c r="E138" i="9"/>
  <c r="F138" i="9" s="1"/>
  <c r="E139" i="9"/>
  <c r="F139" i="9" s="1"/>
  <c r="E140" i="9"/>
  <c r="F140" i="9" s="1"/>
  <c r="E141" i="9"/>
  <c r="F141" i="9" s="1"/>
  <c r="E142" i="9"/>
  <c r="F142" i="9" s="1"/>
  <c r="E143" i="9"/>
  <c r="F143" i="9" s="1"/>
  <c r="E144" i="9"/>
  <c r="F144" i="9" s="1"/>
  <c r="E145" i="9"/>
  <c r="F145" i="9" s="1"/>
  <c r="E146" i="9"/>
  <c r="F146" i="9" s="1"/>
  <c r="E147" i="9"/>
  <c r="F147" i="9" s="1"/>
  <c r="E148" i="9"/>
  <c r="F148" i="9" s="1"/>
  <c r="E149" i="9"/>
  <c r="F149" i="9" s="1"/>
  <c r="E3" i="9"/>
  <c r="F3" i="9" s="1"/>
  <c r="E4" i="9"/>
  <c r="F4" i="9" s="1"/>
  <c r="E5" i="9"/>
  <c r="F5" i="9" s="1"/>
  <c r="E6" i="9"/>
  <c r="F6" i="9" s="1"/>
  <c r="E7" i="9"/>
  <c r="F7" i="9" s="1"/>
  <c r="E8" i="9"/>
  <c r="F8" i="9" s="1"/>
  <c r="E9" i="9"/>
  <c r="F9" i="9" s="1"/>
  <c r="E10" i="9"/>
  <c r="F10" i="9" s="1"/>
  <c r="E11" i="9"/>
  <c r="F11" i="9" s="1"/>
  <c r="E12" i="9"/>
  <c r="F12" i="9" s="1"/>
  <c r="E13" i="9"/>
  <c r="F13" i="9" s="1"/>
  <c r="E14" i="9"/>
  <c r="F14" i="9" s="1"/>
  <c r="E15" i="9"/>
  <c r="F15" i="9" s="1"/>
  <c r="E16" i="9"/>
  <c r="F16" i="9" s="1"/>
  <c r="E17" i="9"/>
  <c r="F17" i="9" s="1"/>
  <c r="E18" i="9"/>
  <c r="F18" i="9" s="1"/>
  <c r="E19" i="9"/>
  <c r="F19" i="9" s="1"/>
  <c r="E20" i="9"/>
  <c r="F20" i="9" s="1"/>
  <c r="E21" i="9"/>
  <c r="F21" i="9" s="1"/>
  <c r="E22" i="9"/>
  <c r="F22" i="9" s="1"/>
  <c r="E23" i="9"/>
  <c r="F23" i="9" s="1"/>
  <c r="E24" i="9"/>
  <c r="F24" i="9" s="1"/>
  <c r="E25" i="9"/>
  <c r="F25" i="9" s="1"/>
  <c r="E26" i="9"/>
  <c r="F26" i="9" s="1"/>
  <c r="E27" i="9"/>
  <c r="F27" i="9" s="1"/>
  <c r="E28" i="9"/>
  <c r="F28" i="9" s="1"/>
  <c r="E29" i="9"/>
  <c r="F29" i="9" s="1"/>
  <c r="E30" i="9"/>
  <c r="F30" i="9" s="1"/>
  <c r="E31" i="9"/>
  <c r="F31" i="9" s="1"/>
  <c r="E32" i="9"/>
  <c r="F32" i="9" s="1"/>
  <c r="E33" i="9"/>
  <c r="F33" i="9" s="1"/>
  <c r="E34" i="9"/>
  <c r="F34" i="9" s="1"/>
  <c r="E35" i="9"/>
  <c r="F35" i="9" s="1"/>
  <c r="E36" i="9"/>
  <c r="F36" i="9"/>
  <c r="E37" i="9"/>
  <c r="F37" i="9" s="1"/>
  <c r="E38" i="9"/>
  <c r="F38" i="9" s="1"/>
  <c r="E39" i="9"/>
  <c r="F39" i="9" s="1"/>
  <c r="E40" i="9"/>
  <c r="F40" i="9" s="1"/>
  <c r="E41" i="9"/>
  <c r="F41" i="9" s="1"/>
  <c r="E42" i="9"/>
  <c r="F42" i="9" s="1"/>
  <c r="E43" i="9"/>
  <c r="F43" i="9"/>
  <c r="E44" i="9"/>
  <c r="F44" i="9" s="1"/>
  <c r="E45" i="9"/>
  <c r="F45" i="9" s="1"/>
  <c r="E46" i="9"/>
  <c r="F46" i="9" s="1"/>
  <c r="E47" i="9"/>
  <c r="F47" i="9" s="1"/>
  <c r="E48" i="9"/>
  <c r="F48" i="9" s="1"/>
  <c r="E49" i="9"/>
  <c r="F49" i="9" s="1"/>
  <c r="E50" i="9"/>
  <c r="F50" i="9" s="1"/>
  <c r="E51" i="9"/>
  <c r="F51" i="9" s="1"/>
  <c r="E52" i="9"/>
  <c r="F52" i="9" s="1"/>
  <c r="E53" i="9"/>
  <c r="F53" i="9" s="1"/>
  <c r="E54" i="9"/>
  <c r="F54" i="9" s="1"/>
  <c r="E55" i="9"/>
  <c r="F55" i="9" s="1"/>
  <c r="E56" i="9"/>
  <c r="F56" i="9" s="1"/>
  <c r="E57" i="9"/>
  <c r="F57" i="9" s="1"/>
  <c r="E58" i="9"/>
  <c r="F58" i="9" s="1"/>
  <c r="E59" i="9"/>
  <c r="F59" i="9" s="1"/>
  <c r="E60" i="9"/>
  <c r="F60" i="9" s="1"/>
  <c r="E61" i="9"/>
  <c r="F61" i="9" s="1"/>
  <c r="E62" i="9"/>
  <c r="F62" i="9" s="1"/>
  <c r="E63" i="9"/>
  <c r="F63" i="9" s="1"/>
  <c r="E64" i="9"/>
  <c r="F64" i="9" s="1"/>
  <c r="E65" i="9"/>
  <c r="F65" i="9" s="1"/>
  <c r="E66" i="9"/>
  <c r="F66" i="9" s="1"/>
  <c r="E67" i="9"/>
  <c r="F67" i="9" s="1"/>
  <c r="E68" i="9"/>
  <c r="F68" i="9" s="1"/>
  <c r="E69" i="9"/>
  <c r="F69" i="9" s="1"/>
  <c r="E70" i="9"/>
  <c r="F70" i="9" s="1"/>
  <c r="E71" i="9"/>
  <c r="F71" i="9" s="1"/>
  <c r="E72" i="9"/>
  <c r="F72" i="9" s="1"/>
  <c r="E73" i="9"/>
  <c r="F73" i="9" s="1"/>
  <c r="E74" i="9"/>
  <c r="F74" i="9" s="1"/>
  <c r="E75" i="9"/>
  <c r="F75" i="9" s="1"/>
  <c r="E76" i="9"/>
  <c r="F76" i="9" s="1"/>
  <c r="E77" i="9"/>
  <c r="F77" i="9" s="1"/>
  <c r="E78" i="9"/>
  <c r="F78" i="9" s="1"/>
  <c r="E79" i="9"/>
  <c r="F79" i="9" s="1"/>
  <c r="E80" i="9"/>
  <c r="F80" i="9" s="1"/>
  <c r="E81" i="9"/>
  <c r="F81" i="9" s="1"/>
  <c r="E82" i="9"/>
  <c r="F82" i="9" s="1"/>
  <c r="E83" i="9"/>
  <c r="F83" i="9" s="1"/>
  <c r="E84" i="9"/>
  <c r="F84" i="9" s="1"/>
  <c r="E85" i="9"/>
  <c r="F85" i="9" s="1"/>
  <c r="E86" i="9"/>
  <c r="F86" i="9" s="1"/>
  <c r="E87" i="9"/>
  <c r="F87" i="9" s="1"/>
  <c r="E88" i="9"/>
  <c r="F88" i="9" s="1"/>
  <c r="E89" i="9"/>
  <c r="F89" i="9" s="1"/>
  <c r="E90" i="9"/>
  <c r="F90" i="9"/>
  <c r="E91" i="9"/>
  <c r="F91" i="9" s="1"/>
  <c r="E92" i="9"/>
  <c r="F92" i="9" s="1"/>
  <c r="E93" i="9"/>
  <c r="F93" i="9" s="1"/>
  <c r="E94" i="9"/>
  <c r="F94" i="9" s="1"/>
  <c r="E95" i="9"/>
  <c r="F95" i="9" s="1"/>
  <c r="E96" i="9"/>
  <c r="F96" i="9" s="1"/>
  <c r="E97" i="9"/>
  <c r="F97" i="9" s="1"/>
  <c r="E98" i="9"/>
  <c r="F98" i="9" s="1"/>
  <c r="E99" i="9"/>
  <c r="F99" i="9" s="1"/>
  <c r="E100" i="9"/>
  <c r="F100" i="9" s="1"/>
  <c r="E101" i="9"/>
  <c r="F101" i="9" s="1"/>
  <c r="E102" i="9"/>
  <c r="F102" i="9" s="1"/>
  <c r="E103" i="9"/>
  <c r="F103" i="9" s="1"/>
  <c r="E104" i="9"/>
  <c r="F104" i="9" s="1"/>
  <c r="E105" i="9"/>
  <c r="F105" i="9" s="1"/>
  <c r="E106" i="9"/>
  <c r="F106" i="9" s="1"/>
  <c r="E107" i="9"/>
  <c r="F107" i="9" s="1"/>
  <c r="E108" i="9"/>
  <c r="F108" i="9" s="1"/>
  <c r="E109" i="9"/>
  <c r="F109" i="9" s="1"/>
  <c r="E110" i="9"/>
  <c r="F110" i="9" s="1"/>
  <c r="E111" i="9"/>
  <c r="F111" i="9" s="1"/>
  <c r="E112" i="9"/>
  <c r="F112" i="9" s="1"/>
  <c r="E113" i="9"/>
  <c r="F113" i="9" s="1"/>
  <c r="E114" i="9"/>
  <c r="F114" i="9" s="1"/>
  <c r="E115" i="9"/>
  <c r="F115" i="9" s="1"/>
  <c r="E116" i="9"/>
  <c r="F116" i="9" s="1"/>
  <c r="E117" i="9"/>
  <c r="F117" i="9" s="1"/>
  <c r="E118" i="9"/>
  <c r="F118" i="9" s="1"/>
  <c r="E119" i="9"/>
  <c r="F119" i="9" s="1"/>
  <c r="E120" i="9"/>
  <c r="F120" i="9" s="1"/>
  <c r="E121" i="9"/>
  <c r="F121" i="9"/>
  <c r="E122" i="9"/>
  <c r="F122" i="9" s="1"/>
  <c r="E123" i="9"/>
  <c r="F123" i="9" s="1"/>
  <c r="E124" i="9"/>
  <c r="F124" i="9" s="1"/>
  <c r="E125" i="9"/>
  <c r="F125" i="9" s="1"/>
  <c r="E126" i="9"/>
  <c r="F126" i="9" s="1"/>
  <c r="E127" i="9"/>
  <c r="F127" i="9" s="1"/>
  <c r="E128" i="9"/>
  <c r="F128" i="9" s="1"/>
  <c r="E2" i="9"/>
  <c r="F2" i="9" s="1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  <c r="E3" i="7"/>
  <c r="F3" i="7" s="1"/>
  <c r="E4" i="7"/>
  <c r="F4" i="7" s="1"/>
  <c r="E5" i="7"/>
  <c r="F5" i="7" s="1"/>
  <c r="E6" i="7"/>
  <c r="F6" i="7" s="1"/>
  <c r="E7" i="7"/>
  <c r="F7" i="7" s="1"/>
  <c r="E8" i="7"/>
  <c r="F8" i="7" s="1"/>
  <c r="E9" i="7"/>
  <c r="F9" i="7" s="1"/>
  <c r="E10" i="7"/>
  <c r="F10" i="7" s="1"/>
  <c r="E11" i="7"/>
  <c r="F11" i="7" s="1"/>
  <c r="E12" i="7"/>
  <c r="F12" i="7" s="1"/>
  <c r="E13" i="7"/>
  <c r="F13" i="7" s="1"/>
  <c r="E14" i="7"/>
  <c r="F14" i="7" s="1"/>
  <c r="E15" i="7"/>
  <c r="F15" i="7" s="1"/>
  <c r="E16" i="7"/>
  <c r="F16" i="7" s="1"/>
  <c r="E17" i="7"/>
  <c r="F17" i="7" s="1"/>
  <c r="E18" i="7"/>
  <c r="F18" i="7"/>
  <c r="E19" i="7"/>
  <c r="F19" i="7" s="1"/>
  <c r="E20" i="7"/>
  <c r="F20" i="7" s="1"/>
  <c r="E21" i="7"/>
  <c r="F21" i="7" s="1"/>
  <c r="E22" i="7"/>
  <c r="F22" i="7" s="1"/>
  <c r="E23" i="7"/>
  <c r="F23" i="7" s="1"/>
  <c r="E24" i="7"/>
  <c r="F24" i="7" s="1"/>
  <c r="E25" i="7"/>
  <c r="F25" i="7" s="1"/>
  <c r="E26" i="7"/>
  <c r="F26" i="7" s="1"/>
  <c r="E27" i="7"/>
  <c r="F27" i="7" s="1"/>
  <c r="E28" i="7"/>
  <c r="F28" i="7" s="1"/>
  <c r="E29" i="7"/>
  <c r="F29" i="7" s="1"/>
  <c r="E30" i="7"/>
  <c r="F30" i="7" s="1"/>
  <c r="E31" i="7"/>
  <c r="F31" i="7" s="1"/>
  <c r="E32" i="7"/>
  <c r="F32" i="7" s="1"/>
  <c r="E33" i="7"/>
  <c r="F33" i="7" s="1"/>
  <c r="E34" i="7"/>
  <c r="F34" i="7"/>
  <c r="E35" i="7"/>
  <c r="F35" i="7" s="1"/>
  <c r="E36" i="7"/>
  <c r="F36" i="7" s="1"/>
  <c r="E37" i="7"/>
  <c r="F37" i="7" s="1"/>
  <c r="E38" i="7"/>
  <c r="F38" i="7" s="1"/>
  <c r="E39" i="7"/>
  <c r="F39" i="7" s="1"/>
  <c r="E40" i="7"/>
  <c r="F40" i="7" s="1"/>
  <c r="E41" i="7"/>
  <c r="F41" i="7" s="1"/>
  <c r="E42" i="7"/>
  <c r="F42" i="7" s="1"/>
  <c r="E43" i="7"/>
  <c r="F43" i="7" s="1"/>
  <c r="E44" i="7"/>
  <c r="F44" i="7" s="1"/>
  <c r="E45" i="7"/>
  <c r="F45" i="7" s="1"/>
  <c r="E46" i="7"/>
  <c r="F46" i="7" s="1"/>
  <c r="E47" i="7"/>
  <c r="F47" i="7" s="1"/>
  <c r="E48" i="7"/>
  <c r="F48" i="7" s="1"/>
  <c r="E49" i="7"/>
  <c r="F49" i="7" s="1"/>
  <c r="E50" i="7"/>
  <c r="F50" i="7" s="1"/>
  <c r="E51" i="7"/>
  <c r="F51" i="7" s="1"/>
  <c r="E52" i="7"/>
  <c r="F52" i="7" s="1"/>
  <c r="E53" i="7"/>
  <c r="F53" i="7" s="1"/>
  <c r="E54" i="7"/>
  <c r="F54" i="7" s="1"/>
  <c r="E55" i="7"/>
  <c r="F55" i="7" s="1"/>
  <c r="E56" i="7"/>
  <c r="F56" i="7" s="1"/>
  <c r="E57" i="7"/>
  <c r="F57" i="7" s="1"/>
  <c r="E58" i="7"/>
  <c r="F58" i="7" s="1"/>
  <c r="E59" i="7"/>
  <c r="F59" i="7" s="1"/>
  <c r="E60" i="7"/>
  <c r="F60" i="7" s="1"/>
  <c r="E61" i="7"/>
  <c r="F61" i="7" s="1"/>
  <c r="E62" i="7"/>
  <c r="F62" i="7" s="1"/>
  <c r="E63" i="7"/>
  <c r="F63" i="7" s="1"/>
  <c r="E64" i="7"/>
  <c r="F64" i="7" s="1"/>
  <c r="E65" i="7"/>
  <c r="F65" i="7" s="1"/>
  <c r="E66" i="7"/>
  <c r="F66" i="7" s="1"/>
  <c r="E67" i="7"/>
  <c r="F67" i="7" s="1"/>
  <c r="E68" i="7"/>
  <c r="F68" i="7" s="1"/>
  <c r="E69" i="7"/>
  <c r="F69" i="7" s="1"/>
  <c r="E70" i="7"/>
  <c r="F70" i="7" s="1"/>
  <c r="E71" i="7"/>
  <c r="F71" i="7" s="1"/>
  <c r="E72" i="7"/>
  <c r="F72" i="7" s="1"/>
  <c r="E73" i="7"/>
  <c r="F73" i="7" s="1"/>
  <c r="E74" i="7"/>
  <c r="F74" i="7" s="1"/>
  <c r="E75" i="7"/>
  <c r="F75" i="7" s="1"/>
  <c r="E76" i="7"/>
  <c r="F76" i="7" s="1"/>
  <c r="E77" i="7"/>
  <c r="F77" i="7" s="1"/>
  <c r="E78" i="7"/>
  <c r="F78" i="7" s="1"/>
  <c r="E79" i="7"/>
  <c r="F79" i="7" s="1"/>
  <c r="E80" i="7"/>
  <c r="F80" i="7" s="1"/>
  <c r="E81" i="7"/>
  <c r="F81" i="7" s="1"/>
  <c r="E82" i="7"/>
  <c r="F82" i="7"/>
  <c r="E83" i="7"/>
  <c r="F83" i="7" s="1"/>
  <c r="E84" i="7"/>
  <c r="F84" i="7" s="1"/>
  <c r="E85" i="7"/>
  <c r="F85" i="7" s="1"/>
  <c r="E86" i="7"/>
  <c r="F86" i="7" s="1"/>
  <c r="E87" i="7"/>
  <c r="F87" i="7" s="1"/>
  <c r="E88" i="7"/>
  <c r="F88" i="7" s="1"/>
  <c r="E89" i="7"/>
  <c r="F89" i="7" s="1"/>
  <c r="E90" i="7"/>
  <c r="F90" i="7" s="1"/>
  <c r="E91" i="7"/>
  <c r="F91" i="7" s="1"/>
  <c r="E92" i="7"/>
  <c r="F92" i="7" s="1"/>
  <c r="E93" i="7"/>
  <c r="F93" i="7" s="1"/>
  <c r="E94" i="7"/>
  <c r="F94" i="7" s="1"/>
  <c r="E95" i="7"/>
  <c r="F95" i="7" s="1"/>
  <c r="E96" i="7"/>
  <c r="F96" i="7" s="1"/>
  <c r="E97" i="7"/>
  <c r="F97" i="7" s="1"/>
  <c r="E98" i="7"/>
  <c r="F98" i="7" s="1"/>
  <c r="E99" i="7"/>
  <c r="F99" i="7" s="1"/>
  <c r="E100" i="7"/>
  <c r="F100" i="7" s="1"/>
  <c r="E101" i="7"/>
  <c r="F101" i="7" s="1"/>
  <c r="E102" i="7"/>
  <c r="F102" i="7" s="1"/>
  <c r="E103" i="7"/>
  <c r="F103" i="7" s="1"/>
  <c r="E104" i="7"/>
  <c r="F104" i="7" s="1"/>
  <c r="E105" i="7"/>
  <c r="F105" i="7" s="1"/>
  <c r="E106" i="7"/>
  <c r="F106" i="7" s="1"/>
  <c r="E107" i="7"/>
  <c r="F107" i="7" s="1"/>
  <c r="E108" i="7"/>
  <c r="F108" i="7"/>
  <c r="E109" i="7"/>
  <c r="F109" i="7" s="1"/>
  <c r="E110" i="7"/>
  <c r="F110" i="7" s="1"/>
  <c r="E111" i="7"/>
  <c r="F111" i="7" s="1"/>
  <c r="E112" i="7"/>
  <c r="F112" i="7" s="1"/>
  <c r="E113" i="7"/>
  <c r="F113" i="7" s="1"/>
  <c r="E114" i="7"/>
  <c r="F114" i="7" s="1"/>
  <c r="E115" i="7"/>
  <c r="F115" i="7" s="1"/>
  <c r="E116" i="7"/>
  <c r="F116" i="7" s="1"/>
  <c r="E117" i="7"/>
  <c r="F117" i="7" s="1"/>
  <c r="E118" i="7"/>
  <c r="F118" i="7" s="1"/>
  <c r="E119" i="7"/>
  <c r="F119" i="7" s="1"/>
  <c r="E120" i="7"/>
  <c r="F120" i="7" s="1"/>
  <c r="E121" i="7"/>
  <c r="F121" i="7" s="1"/>
  <c r="E122" i="7"/>
  <c r="F122" i="7" s="1"/>
  <c r="E123" i="7"/>
  <c r="F123" i="7" s="1"/>
  <c r="E124" i="7"/>
  <c r="F124" i="7" s="1"/>
  <c r="E125" i="7"/>
  <c r="F125" i="7" s="1"/>
  <c r="E126" i="7"/>
  <c r="F126" i="7" s="1"/>
  <c r="E2" i="7"/>
  <c r="AO105" i="8"/>
  <c r="T105" i="8"/>
  <c r="AW105" i="8" s="1"/>
  <c r="AY105" i="8" s="1"/>
  <c r="L105" i="8"/>
  <c r="AK105" i="8" s="1"/>
  <c r="E105" i="8"/>
  <c r="F105" i="8" s="1"/>
  <c r="A105" i="8"/>
  <c r="AO104" i="8"/>
  <c r="T104" i="8"/>
  <c r="L104" i="8"/>
  <c r="K104" i="8" s="1"/>
  <c r="E104" i="8"/>
  <c r="F104" i="8" s="1"/>
  <c r="A104" i="8"/>
  <c r="AO103" i="8"/>
  <c r="T103" i="8"/>
  <c r="V103" i="8" s="1"/>
  <c r="L103" i="8"/>
  <c r="K103" i="8" s="1"/>
  <c r="E103" i="8"/>
  <c r="F103" i="8" s="1"/>
  <c r="A103" i="8"/>
  <c r="AO102" i="8"/>
  <c r="T102" i="8"/>
  <c r="L102" i="8"/>
  <c r="K102" i="8" s="1"/>
  <c r="E102" i="8"/>
  <c r="F102" i="8" s="1"/>
  <c r="A102" i="8"/>
  <c r="AY101" i="8"/>
  <c r="AO101" i="8"/>
  <c r="T101" i="8"/>
  <c r="L101" i="8"/>
  <c r="K101" i="8" s="1"/>
  <c r="E101" i="8"/>
  <c r="F101" i="8" s="1"/>
  <c r="A101" i="8"/>
  <c r="AO100" i="8"/>
  <c r="T100" i="8"/>
  <c r="AW100" i="8" s="1"/>
  <c r="AY100" i="8" s="1"/>
  <c r="L100" i="8"/>
  <c r="K100" i="8" s="1"/>
  <c r="E100" i="8"/>
  <c r="F100" i="8" s="1"/>
  <c r="A100" i="8"/>
  <c r="AO99" i="8"/>
  <c r="L99" i="8"/>
  <c r="K99" i="8" s="1"/>
  <c r="E99" i="8"/>
  <c r="F99" i="8" s="1"/>
  <c r="A99" i="8"/>
  <c r="AO98" i="8"/>
  <c r="T98" i="8" s="1"/>
  <c r="L98" i="8"/>
  <c r="K98" i="8" s="1"/>
  <c r="E98" i="8"/>
  <c r="F98" i="8" s="1"/>
  <c r="A98" i="8"/>
  <c r="AO97" i="8"/>
  <c r="T97" i="8" s="1"/>
  <c r="V97" i="8" s="1"/>
  <c r="L97" i="8"/>
  <c r="K97" i="8" s="1"/>
  <c r="E97" i="8"/>
  <c r="F97" i="8" s="1"/>
  <c r="A97" i="8"/>
  <c r="AO96" i="8"/>
  <c r="T96" i="8" s="1"/>
  <c r="L96" i="8"/>
  <c r="K96" i="8" s="1"/>
  <c r="E96" i="8"/>
  <c r="F96" i="8" s="1"/>
  <c r="A96" i="8"/>
  <c r="AO95" i="8"/>
  <c r="T95" i="8" s="1"/>
  <c r="AW95" i="8" s="1"/>
  <c r="AY95" i="8" s="1"/>
  <c r="L95" i="8"/>
  <c r="E95" i="8"/>
  <c r="F95" i="8" s="1"/>
  <c r="A95" i="8"/>
  <c r="AO94" i="8"/>
  <c r="T94" i="8" s="1"/>
  <c r="AW94" i="8" s="1"/>
  <c r="AY94" i="8" s="1"/>
  <c r="L94" i="8"/>
  <c r="K94" i="8" s="1"/>
  <c r="E94" i="8"/>
  <c r="F94" i="8" s="1"/>
  <c r="A94" i="8"/>
  <c r="AY93" i="8"/>
  <c r="T93" i="8"/>
  <c r="V93" i="8" s="1"/>
  <c r="L93" i="8"/>
  <c r="K93" i="8" s="1"/>
  <c r="E93" i="8"/>
  <c r="F93" i="8" s="1"/>
  <c r="A93" i="8"/>
  <c r="AY92" i="8"/>
  <c r="T92" i="8"/>
  <c r="L92" i="8"/>
  <c r="AK92" i="8" s="1"/>
  <c r="E92" i="8"/>
  <c r="F92" i="8" s="1"/>
  <c r="A92" i="8"/>
  <c r="AW91" i="8"/>
  <c r="AY91" i="8" s="1"/>
  <c r="V91" i="8"/>
  <c r="L91" i="8"/>
  <c r="AK91" i="8" s="1"/>
  <c r="E91" i="8"/>
  <c r="F91" i="8" s="1"/>
  <c r="A91" i="8"/>
  <c r="AW90" i="8"/>
  <c r="AY90" i="8" s="1"/>
  <c r="V90" i="8"/>
  <c r="L90" i="8"/>
  <c r="X90" i="8" s="1"/>
  <c r="Z90" i="8" s="1"/>
  <c r="E90" i="8"/>
  <c r="F90" i="8" s="1"/>
  <c r="A90" i="8"/>
  <c r="AO89" i="8"/>
  <c r="AW89" i="8" s="1"/>
  <c r="AY89" i="8" s="1"/>
  <c r="V89" i="8"/>
  <c r="L89" i="8"/>
  <c r="K89" i="8" s="1"/>
  <c r="E89" i="8"/>
  <c r="F89" i="8" s="1"/>
  <c r="A89" i="8"/>
  <c r="AO88" i="8"/>
  <c r="AW88" i="8" s="1"/>
  <c r="AY88" i="8" s="1"/>
  <c r="V88" i="8"/>
  <c r="L88" i="8"/>
  <c r="K88" i="8" s="1"/>
  <c r="E88" i="8"/>
  <c r="F88" i="8" s="1"/>
  <c r="A88" i="8"/>
  <c r="AO87" i="8"/>
  <c r="V87" i="8"/>
  <c r="L87" i="8"/>
  <c r="X87" i="8" s="1"/>
  <c r="Z87" i="8" s="1"/>
  <c r="E87" i="8"/>
  <c r="F87" i="8" s="1"/>
  <c r="A87" i="8"/>
  <c r="AO86" i="8"/>
  <c r="AW86" i="8" s="1"/>
  <c r="AY86" i="8" s="1"/>
  <c r="V86" i="8"/>
  <c r="L86" i="8"/>
  <c r="X86" i="8" s="1"/>
  <c r="Z86" i="8" s="1"/>
  <c r="E86" i="8"/>
  <c r="F86" i="8" s="1"/>
  <c r="A86" i="8"/>
  <c r="AO85" i="8"/>
  <c r="AW85" i="8" s="1"/>
  <c r="AY85" i="8" s="1"/>
  <c r="V85" i="8"/>
  <c r="L85" i="8"/>
  <c r="K85" i="8" s="1"/>
  <c r="E85" i="8"/>
  <c r="F85" i="8" s="1"/>
  <c r="A85" i="8"/>
  <c r="AO84" i="8"/>
  <c r="AW84" i="8" s="1"/>
  <c r="AY84" i="8" s="1"/>
  <c r="V84" i="8"/>
  <c r="L84" i="8"/>
  <c r="K84" i="8" s="1"/>
  <c r="E84" i="8"/>
  <c r="F84" i="8" s="1"/>
  <c r="A84" i="8"/>
  <c r="BB83" i="8"/>
  <c r="AY83" i="8"/>
  <c r="AO83" i="8"/>
  <c r="V83" i="8"/>
  <c r="L83" i="8"/>
  <c r="X83" i="8" s="1"/>
  <c r="Z83" i="8" s="1"/>
  <c r="E83" i="8"/>
  <c r="F83" i="8" s="1"/>
  <c r="A83" i="8"/>
  <c r="AO82" i="8"/>
  <c r="V82" i="8"/>
  <c r="L82" i="8"/>
  <c r="K82" i="8" s="1"/>
  <c r="E82" i="8"/>
  <c r="F82" i="8" s="1"/>
  <c r="A82" i="8"/>
  <c r="AO81" i="8"/>
  <c r="V81" i="8"/>
  <c r="L81" i="8"/>
  <c r="K81" i="8" s="1"/>
  <c r="E81" i="8"/>
  <c r="F81" i="8" s="1"/>
  <c r="A81" i="8"/>
  <c r="AO80" i="8"/>
  <c r="V80" i="8"/>
  <c r="L80" i="8"/>
  <c r="K80" i="8" s="1"/>
  <c r="E80" i="8"/>
  <c r="F80" i="8" s="1"/>
  <c r="A80" i="8"/>
  <c r="AO79" i="8"/>
  <c r="V79" i="8"/>
  <c r="L79" i="8"/>
  <c r="K79" i="8" s="1"/>
  <c r="E79" i="8"/>
  <c r="F79" i="8" s="1"/>
  <c r="A79" i="8"/>
  <c r="AO78" i="8"/>
  <c r="V78" i="8"/>
  <c r="L78" i="8"/>
  <c r="E78" i="8"/>
  <c r="F78" i="8" s="1"/>
  <c r="A78" i="8"/>
  <c r="AO77" i="8"/>
  <c r="V77" i="8"/>
  <c r="L77" i="8"/>
  <c r="X77" i="8" s="1"/>
  <c r="Z77" i="8" s="1"/>
  <c r="E77" i="8"/>
  <c r="F77" i="8" s="1"/>
  <c r="A77" i="8"/>
  <c r="AO76" i="8"/>
  <c r="V76" i="8"/>
  <c r="L76" i="8"/>
  <c r="K76" i="8" s="1"/>
  <c r="E76" i="8"/>
  <c r="F76" i="8" s="1"/>
  <c r="A76" i="8"/>
  <c r="V75" i="8"/>
  <c r="L75" i="8"/>
  <c r="AO75" i="8" s="1"/>
  <c r="E75" i="8"/>
  <c r="F75" i="8" s="1"/>
  <c r="A75" i="8"/>
  <c r="V74" i="8"/>
  <c r="L74" i="8"/>
  <c r="K74" i="8" s="1"/>
  <c r="E74" i="8"/>
  <c r="F74" i="8" s="1"/>
  <c r="A74" i="8"/>
  <c r="V73" i="8"/>
  <c r="L73" i="8"/>
  <c r="AO73" i="8" s="1"/>
  <c r="E73" i="8"/>
  <c r="F73" i="8" s="1"/>
  <c r="A73" i="8"/>
  <c r="V72" i="8"/>
  <c r="L72" i="8"/>
  <c r="K72" i="8" s="1"/>
  <c r="E72" i="8"/>
  <c r="F72" i="8" s="1"/>
  <c r="A72" i="8"/>
  <c r="V71" i="8"/>
  <c r="L71" i="8"/>
  <c r="X71" i="8" s="1"/>
  <c r="Z71" i="8" s="1"/>
  <c r="E71" i="8"/>
  <c r="F71" i="8" s="1"/>
  <c r="A71" i="8"/>
  <c r="V70" i="8"/>
  <c r="L70" i="8"/>
  <c r="X70" i="8" s="1"/>
  <c r="Z70" i="8" s="1"/>
  <c r="E70" i="8"/>
  <c r="F70" i="8" s="1"/>
  <c r="A70" i="8"/>
  <c r="AO69" i="8"/>
  <c r="T69" i="8" s="1"/>
  <c r="AW69" i="8" s="1"/>
  <c r="AY69" i="8" s="1"/>
  <c r="L69" i="8"/>
  <c r="K69" i="8"/>
  <c r="E69" i="8"/>
  <c r="F69" i="8" s="1"/>
  <c r="A69" i="8"/>
  <c r="AO68" i="8"/>
  <c r="L68" i="8"/>
  <c r="K68" i="8" s="1"/>
  <c r="E68" i="8"/>
  <c r="F68" i="8" s="1"/>
  <c r="A68" i="8"/>
  <c r="AO67" i="8"/>
  <c r="T67" i="8" s="1"/>
  <c r="L67" i="8"/>
  <c r="K67" i="8" s="1"/>
  <c r="E67" i="8"/>
  <c r="F67" i="8" s="1"/>
  <c r="A67" i="8"/>
  <c r="AO66" i="8"/>
  <c r="T66" i="8"/>
  <c r="AW66" i="8" s="1"/>
  <c r="AY66" i="8" s="1"/>
  <c r="L66" i="8"/>
  <c r="K66" i="8" s="1"/>
  <c r="E66" i="8"/>
  <c r="F66" i="8" s="1"/>
  <c r="A66" i="8"/>
  <c r="AO65" i="8"/>
  <c r="T65" i="8"/>
  <c r="L65" i="8"/>
  <c r="K65" i="8"/>
  <c r="E65" i="8"/>
  <c r="F65" i="8" s="1"/>
  <c r="A65" i="8"/>
  <c r="AO64" i="8"/>
  <c r="AW64" i="8" s="1"/>
  <c r="AY64" i="8" s="1"/>
  <c r="V64" i="8"/>
  <c r="L64" i="8"/>
  <c r="X64" i="8" s="1"/>
  <c r="Z64" i="8" s="1"/>
  <c r="E64" i="8"/>
  <c r="F64" i="8" s="1"/>
  <c r="A64" i="8"/>
  <c r="AO63" i="8"/>
  <c r="AW63" i="8" s="1"/>
  <c r="AY63" i="8" s="1"/>
  <c r="V63" i="8"/>
  <c r="L63" i="8"/>
  <c r="X63" i="8" s="1"/>
  <c r="Z63" i="8" s="1"/>
  <c r="E63" i="8"/>
  <c r="F63" i="8" s="1"/>
  <c r="A63" i="8"/>
  <c r="AO62" i="8"/>
  <c r="AW62" i="8" s="1"/>
  <c r="AY62" i="8" s="1"/>
  <c r="V62" i="8"/>
  <c r="L62" i="8"/>
  <c r="X62" i="8" s="1"/>
  <c r="Z62" i="8" s="1"/>
  <c r="E62" i="8"/>
  <c r="F62" i="8" s="1"/>
  <c r="A62" i="8"/>
  <c r="AO61" i="8"/>
  <c r="V61" i="8"/>
  <c r="L61" i="8"/>
  <c r="X61" i="8" s="1"/>
  <c r="Z61" i="8" s="1"/>
  <c r="E61" i="8"/>
  <c r="F61" i="8" s="1"/>
  <c r="A61" i="8"/>
  <c r="AO60" i="8"/>
  <c r="AW60" i="8" s="1"/>
  <c r="AY60" i="8" s="1"/>
  <c r="X60" i="8"/>
  <c r="Z60" i="8" s="1"/>
  <c r="V60" i="8"/>
  <c r="L60" i="8"/>
  <c r="K60" i="8" s="1"/>
  <c r="E60" i="8"/>
  <c r="F60" i="8" s="1"/>
  <c r="A60" i="8"/>
  <c r="AO59" i="8"/>
  <c r="V59" i="8"/>
  <c r="L59" i="8"/>
  <c r="X59" i="8" s="1"/>
  <c r="Z59" i="8" s="1"/>
  <c r="K59" i="8"/>
  <c r="E59" i="8"/>
  <c r="F59" i="8" s="1"/>
  <c r="A59" i="8"/>
  <c r="AO58" i="8"/>
  <c r="AW58" i="8" s="1"/>
  <c r="AY58" i="8" s="1"/>
  <c r="V58" i="8"/>
  <c r="L58" i="8"/>
  <c r="K58" i="8" s="1"/>
  <c r="E58" i="8"/>
  <c r="F58" i="8" s="1"/>
  <c r="A58" i="8"/>
  <c r="AO57" i="8"/>
  <c r="T57" i="8"/>
  <c r="V57" i="8" s="1"/>
  <c r="L57" i="8"/>
  <c r="K57" i="8" s="1"/>
  <c r="E57" i="8"/>
  <c r="F57" i="8" s="1"/>
  <c r="A57" i="8"/>
  <c r="AO56" i="8"/>
  <c r="AK56" i="8"/>
  <c r="T56" i="8"/>
  <c r="V56" i="8" s="1"/>
  <c r="K56" i="8"/>
  <c r="E56" i="8"/>
  <c r="F56" i="8" s="1"/>
  <c r="A56" i="8"/>
  <c r="AO55" i="8"/>
  <c r="AK55" i="8" s="1"/>
  <c r="T55" i="8"/>
  <c r="AW55" i="8" s="1"/>
  <c r="AY55" i="8" s="1"/>
  <c r="K55" i="8"/>
  <c r="E55" i="8"/>
  <c r="F55" i="8" s="1"/>
  <c r="A55" i="8"/>
  <c r="AO54" i="8"/>
  <c r="AK54" i="8" s="1"/>
  <c r="T54" i="8"/>
  <c r="X54" i="8" s="1"/>
  <c r="Z54" i="8" s="1"/>
  <c r="K54" i="8"/>
  <c r="E54" i="8"/>
  <c r="F54" i="8" s="1"/>
  <c r="A54" i="8"/>
  <c r="AO53" i="8"/>
  <c r="AK53" i="8" s="1"/>
  <c r="T53" i="8"/>
  <c r="V53" i="8" s="1"/>
  <c r="K53" i="8"/>
  <c r="E53" i="8"/>
  <c r="F53" i="8" s="1"/>
  <c r="A53" i="8"/>
  <c r="AO52" i="8"/>
  <c r="AK52" i="8"/>
  <c r="T52" i="8"/>
  <c r="V52" i="8" s="1"/>
  <c r="K52" i="8"/>
  <c r="E52" i="8"/>
  <c r="F52" i="8" s="1"/>
  <c r="A52" i="8"/>
  <c r="AO51" i="8"/>
  <c r="AK51" i="8" s="1"/>
  <c r="T51" i="8"/>
  <c r="K51" i="8"/>
  <c r="E51" i="8"/>
  <c r="F51" i="8" s="1"/>
  <c r="A51" i="8"/>
  <c r="AO50" i="8"/>
  <c r="AK50" i="8"/>
  <c r="T50" i="8"/>
  <c r="X50" i="8" s="1"/>
  <c r="Z50" i="8" s="1"/>
  <c r="K50" i="8"/>
  <c r="E50" i="8"/>
  <c r="F50" i="8" s="1"/>
  <c r="A50" i="8"/>
  <c r="AO49" i="8"/>
  <c r="AK49" i="8" s="1"/>
  <c r="T49" i="8"/>
  <c r="V49" i="8" s="1"/>
  <c r="K49" i="8"/>
  <c r="E49" i="8"/>
  <c r="F49" i="8" s="1"/>
  <c r="A49" i="8"/>
  <c r="AO48" i="8"/>
  <c r="AK48" i="8" s="1"/>
  <c r="T48" i="8"/>
  <c r="V48" i="8" s="1"/>
  <c r="K48" i="8"/>
  <c r="E48" i="8"/>
  <c r="F48" i="8" s="1"/>
  <c r="A48" i="8"/>
  <c r="AO47" i="8"/>
  <c r="AK47" i="8" s="1"/>
  <c r="T47" i="8"/>
  <c r="K47" i="8"/>
  <c r="E47" i="8"/>
  <c r="F47" i="8" s="1"/>
  <c r="A47" i="8"/>
  <c r="AO46" i="8"/>
  <c r="T46" i="8"/>
  <c r="L46" i="8"/>
  <c r="K46" i="8" s="1"/>
  <c r="E46" i="8"/>
  <c r="F46" i="8" s="1"/>
  <c r="A46" i="8"/>
  <c r="AO45" i="8"/>
  <c r="T45" i="8"/>
  <c r="AW45" i="8" s="1"/>
  <c r="AY45" i="8" s="1"/>
  <c r="L45" i="8"/>
  <c r="K45" i="8" s="1"/>
  <c r="E45" i="8"/>
  <c r="F45" i="8" s="1"/>
  <c r="A45" i="8"/>
  <c r="AO44" i="8"/>
  <c r="T44" i="8"/>
  <c r="L44" i="8"/>
  <c r="K44" i="8"/>
  <c r="E44" i="8"/>
  <c r="F44" i="8" s="1"/>
  <c r="A44" i="8"/>
  <c r="AO43" i="8"/>
  <c r="T43" i="8"/>
  <c r="L43" i="8"/>
  <c r="K43" i="8" s="1"/>
  <c r="E43" i="8"/>
  <c r="F43" i="8" s="1"/>
  <c r="A43" i="8"/>
  <c r="AO42" i="8"/>
  <c r="T42" i="8"/>
  <c r="L42" i="8"/>
  <c r="K42" i="8" s="1"/>
  <c r="E42" i="8"/>
  <c r="F42" i="8" s="1"/>
  <c r="A42" i="8"/>
  <c r="AO41" i="8"/>
  <c r="T41" i="8"/>
  <c r="L41" i="8"/>
  <c r="E41" i="8"/>
  <c r="F41" i="8" s="1"/>
  <c r="A41" i="8"/>
  <c r="AO40" i="8"/>
  <c r="T40" i="8"/>
  <c r="L40" i="8"/>
  <c r="K40" i="8" s="1"/>
  <c r="E40" i="8"/>
  <c r="F40" i="8" s="1"/>
  <c r="A40" i="8"/>
  <c r="AO39" i="8"/>
  <c r="T39" i="8"/>
  <c r="V39" i="8" s="1"/>
  <c r="L39" i="8"/>
  <c r="K39" i="8" s="1"/>
  <c r="E39" i="8"/>
  <c r="F39" i="8" s="1"/>
  <c r="A39" i="8"/>
  <c r="AO38" i="8"/>
  <c r="T38" i="8"/>
  <c r="V38" i="8" s="1"/>
  <c r="L38" i="8"/>
  <c r="K38" i="8" s="1"/>
  <c r="E38" i="8"/>
  <c r="F38" i="8" s="1"/>
  <c r="A38" i="8"/>
  <c r="AO37" i="8"/>
  <c r="T37" i="8"/>
  <c r="L37" i="8"/>
  <c r="K37" i="8" s="1"/>
  <c r="E37" i="8"/>
  <c r="F37" i="8" s="1"/>
  <c r="A37" i="8"/>
  <c r="AO36" i="8"/>
  <c r="L36" i="8"/>
  <c r="K36" i="8" s="1"/>
  <c r="E36" i="8"/>
  <c r="F36" i="8" s="1"/>
  <c r="A36" i="8"/>
  <c r="AO35" i="8"/>
  <c r="L35" i="8"/>
  <c r="K35" i="8" s="1"/>
  <c r="E35" i="8"/>
  <c r="F35" i="8" s="1"/>
  <c r="A35" i="8"/>
  <c r="AO34" i="8"/>
  <c r="T34" i="8"/>
  <c r="V34" i="8" s="1"/>
  <c r="L34" i="8"/>
  <c r="E34" i="8"/>
  <c r="F34" i="8" s="1"/>
  <c r="A34" i="8"/>
  <c r="AO33" i="8"/>
  <c r="T33" i="8"/>
  <c r="V33" i="8" s="1"/>
  <c r="L33" i="8"/>
  <c r="X33" i="8" s="1"/>
  <c r="Z33" i="8" s="1"/>
  <c r="E33" i="8"/>
  <c r="F33" i="8" s="1"/>
  <c r="A33" i="8"/>
  <c r="AO32" i="8"/>
  <c r="T32" i="8"/>
  <c r="L32" i="8"/>
  <c r="K32" i="8" s="1"/>
  <c r="E32" i="8"/>
  <c r="F32" i="8" s="1"/>
  <c r="A32" i="8"/>
  <c r="AO31" i="8"/>
  <c r="L31" i="8"/>
  <c r="K31" i="8" s="1"/>
  <c r="E31" i="8"/>
  <c r="F31" i="8" s="1"/>
  <c r="A31" i="8"/>
  <c r="AO30" i="8"/>
  <c r="L30" i="8"/>
  <c r="K30" i="8"/>
  <c r="E30" i="8"/>
  <c r="F30" i="8" s="1"/>
  <c r="A30" i="8"/>
  <c r="AO29" i="8"/>
  <c r="L29" i="8"/>
  <c r="K29" i="8" s="1"/>
  <c r="E29" i="8"/>
  <c r="F29" i="8" s="1"/>
  <c r="A29" i="8"/>
  <c r="AO28" i="8"/>
  <c r="L28" i="8"/>
  <c r="K28" i="8" s="1"/>
  <c r="E28" i="8"/>
  <c r="F28" i="8" s="1"/>
  <c r="A28" i="8"/>
  <c r="AO27" i="8"/>
  <c r="L27" i="8"/>
  <c r="K27" i="8" s="1"/>
  <c r="E27" i="8"/>
  <c r="F27" i="8" s="1"/>
  <c r="A27" i="8"/>
  <c r="AO26" i="8"/>
  <c r="L26" i="8"/>
  <c r="AK26" i="8" s="1"/>
  <c r="E26" i="8"/>
  <c r="F26" i="8" s="1"/>
  <c r="A26" i="8"/>
  <c r="AO25" i="8"/>
  <c r="L25" i="8"/>
  <c r="AK25" i="8" s="1"/>
  <c r="E25" i="8"/>
  <c r="F25" i="8" s="1"/>
  <c r="A25" i="8"/>
  <c r="AO24" i="8"/>
  <c r="T24" i="8" s="1"/>
  <c r="AW24" i="8" s="1"/>
  <c r="AY24" i="8" s="1"/>
  <c r="L24" i="8"/>
  <c r="K24" i="8" s="1"/>
  <c r="E24" i="8"/>
  <c r="F24" i="8" s="1"/>
  <c r="A24" i="8"/>
  <c r="T23" i="8"/>
  <c r="L23" i="8"/>
  <c r="K23" i="8" s="1"/>
  <c r="E23" i="8"/>
  <c r="F23" i="8" s="1"/>
  <c r="A23" i="8"/>
  <c r="AY22" i="8"/>
  <c r="AO22" i="8"/>
  <c r="V22" i="8"/>
  <c r="L22" i="8"/>
  <c r="K22" i="8" s="1"/>
  <c r="E22" i="8"/>
  <c r="F22" i="8" s="1"/>
  <c r="A22" i="8"/>
  <c r="AY21" i="8"/>
  <c r="AO21" i="8"/>
  <c r="V21" i="8"/>
  <c r="L21" i="8"/>
  <c r="K21" i="8" s="1"/>
  <c r="E21" i="8"/>
  <c r="F21" i="8" s="1"/>
  <c r="A21" i="8"/>
  <c r="AY20" i="8"/>
  <c r="AO20" i="8"/>
  <c r="V20" i="8"/>
  <c r="L20" i="8"/>
  <c r="K20" i="8" s="1"/>
  <c r="E20" i="8"/>
  <c r="F20" i="8" s="1"/>
  <c r="A20" i="8"/>
  <c r="AY19" i="8"/>
  <c r="AO19" i="8"/>
  <c r="L19" i="8"/>
  <c r="K19" i="8" s="1"/>
  <c r="E19" i="8"/>
  <c r="F19" i="8" s="1"/>
  <c r="A19" i="8"/>
  <c r="AY18" i="8"/>
  <c r="AO18" i="8"/>
  <c r="AK18" i="8"/>
  <c r="V18" i="8"/>
  <c r="L18" i="8"/>
  <c r="X18" i="8" s="1"/>
  <c r="Z18" i="8" s="1"/>
  <c r="E18" i="8"/>
  <c r="F18" i="8" s="1"/>
  <c r="A18" i="8"/>
  <c r="AY17" i="8"/>
  <c r="AO17" i="8"/>
  <c r="V17" i="8"/>
  <c r="L17" i="8"/>
  <c r="K17" i="8" s="1"/>
  <c r="E17" i="8"/>
  <c r="F17" i="8" s="1"/>
  <c r="A17" i="8"/>
  <c r="AY16" i="8"/>
  <c r="AO16" i="8"/>
  <c r="V16" i="8"/>
  <c r="L16" i="8"/>
  <c r="X16" i="8" s="1"/>
  <c r="Z16" i="8" s="1"/>
  <c r="E16" i="8"/>
  <c r="F16" i="8" s="1"/>
  <c r="A16" i="8"/>
  <c r="AY15" i="8"/>
  <c r="AO15" i="8"/>
  <c r="V15" i="8"/>
  <c r="L15" i="8"/>
  <c r="X15" i="8" s="1"/>
  <c r="Z15" i="8" s="1"/>
  <c r="E15" i="8"/>
  <c r="F15" i="8" s="1"/>
  <c r="A15" i="8"/>
  <c r="AY14" i="8"/>
  <c r="AO14" i="8"/>
  <c r="V14" i="8"/>
  <c r="L14" i="8"/>
  <c r="E14" i="8"/>
  <c r="F14" i="8" s="1"/>
  <c r="A14" i="8"/>
  <c r="AO13" i="8"/>
  <c r="AK13" i="8" s="1"/>
  <c r="V13" i="8"/>
  <c r="L13" i="8"/>
  <c r="X13" i="8" s="1"/>
  <c r="Z13" i="8" s="1"/>
  <c r="E13" i="8"/>
  <c r="F13" i="8" s="1"/>
  <c r="A13" i="8"/>
  <c r="AY12" i="8"/>
  <c r="AO12" i="8"/>
  <c r="V12" i="8"/>
  <c r="L12" i="8"/>
  <c r="X12" i="8" s="1"/>
  <c r="Z12" i="8" s="1"/>
  <c r="E12" i="8"/>
  <c r="F12" i="8" s="1"/>
  <c r="A12" i="8"/>
  <c r="AY11" i="8"/>
  <c r="AO11" i="8"/>
  <c r="V11" i="8"/>
  <c r="L11" i="8"/>
  <c r="E11" i="8"/>
  <c r="F11" i="8" s="1"/>
  <c r="A11" i="8"/>
  <c r="AY10" i="8"/>
  <c r="AO10" i="8"/>
  <c r="V10" i="8"/>
  <c r="L10" i="8"/>
  <c r="X10" i="8" s="1"/>
  <c r="Z10" i="8" s="1"/>
  <c r="E10" i="8"/>
  <c r="F10" i="8" s="1"/>
  <c r="A10" i="8"/>
  <c r="AY9" i="8"/>
  <c r="AO9" i="8"/>
  <c r="V9" i="8"/>
  <c r="L9" i="8"/>
  <c r="K9" i="8" s="1"/>
  <c r="E9" i="8"/>
  <c r="F9" i="8" s="1"/>
  <c r="A9" i="8"/>
  <c r="AY8" i="8"/>
  <c r="AO8" i="8"/>
  <c r="L8" i="8"/>
  <c r="K8" i="8" s="1"/>
  <c r="E8" i="8"/>
  <c r="F8" i="8" s="1"/>
  <c r="A8" i="8"/>
  <c r="T7" i="8"/>
  <c r="AW7" i="8" s="1"/>
  <c r="AY7" i="8" s="1"/>
  <c r="L7" i="8"/>
  <c r="K7" i="8" s="1"/>
  <c r="E7" i="8"/>
  <c r="F7" i="8" s="1"/>
  <c r="A7" i="8"/>
  <c r="T6" i="8"/>
  <c r="L6" i="8"/>
  <c r="K6" i="8" s="1"/>
  <c r="E6" i="8"/>
  <c r="F6" i="8" s="1"/>
  <c r="A6" i="8"/>
  <c r="AY5" i="8"/>
  <c r="T5" i="8"/>
  <c r="L5" i="8"/>
  <c r="K5" i="8" s="1"/>
  <c r="E5" i="8"/>
  <c r="F5" i="8" s="1"/>
  <c r="A5" i="8"/>
  <c r="AY4" i="8"/>
  <c r="T4" i="8"/>
  <c r="V4" i="8" s="1"/>
  <c r="L4" i="8"/>
  <c r="K4" i="8" s="1"/>
  <c r="E4" i="8"/>
  <c r="F4" i="8" s="1"/>
  <c r="A4" i="8"/>
  <c r="AY3" i="8"/>
  <c r="T3" i="8"/>
  <c r="V3" i="8" s="1"/>
  <c r="L3" i="8"/>
  <c r="K3" i="8" s="1"/>
  <c r="E3" i="8"/>
  <c r="F3" i="8" s="1"/>
  <c r="A3" i="8"/>
  <c r="AO2" i="8"/>
  <c r="T2" i="8"/>
  <c r="L2" i="8"/>
  <c r="K2" i="8" s="1"/>
  <c r="E2" i="8"/>
  <c r="F2" i="8" s="1"/>
  <c r="A2" i="8"/>
  <c r="F8" i="2"/>
  <c r="F66" i="2"/>
  <c r="F72" i="2"/>
  <c r="F130" i="2"/>
  <c r="F136" i="2"/>
  <c r="F194" i="2"/>
  <c r="F200" i="2"/>
  <c r="F258" i="2"/>
  <c r="F264" i="2"/>
  <c r="E3" i="2"/>
  <c r="F3" i="2" s="1"/>
  <c r="E4" i="2"/>
  <c r="F4" i="2" s="1"/>
  <c r="E5" i="2"/>
  <c r="F5" i="2" s="1"/>
  <c r="E6" i="2"/>
  <c r="F6" i="2" s="1"/>
  <c r="E7" i="2"/>
  <c r="F7" i="2" s="1"/>
  <c r="E8" i="2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F32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F39" i="2" s="1"/>
  <c r="E40" i="2"/>
  <c r="F40" i="2" s="1"/>
  <c r="E41" i="2"/>
  <c r="F41" i="2" s="1"/>
  <c r="E42" i="2"/>
  <c r="F42" i="2" s="1"/>
  <c r="E43" i="2"/>
  <c r="F43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E54" i="2"/>
  <c r="F54" i="2" s="1"/>
  <c r="E55" i="2"/>
  <c r="F55" i="2" s="1"/>
  <c r="E56" i="2"/>
  <c r="F56" i="2" s="1"/>
  <c r="E57" i="2"/>
  <c r="F57" i="2" s="1"/>
  <c r="E58" i="2"/>
  <c r="F58" i="2" s="1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E67" i="2"/>
  <c r="F67" i="2" s="1"/>
  <c r="E68" i="2"/>
  <c r="F68" i="2" s="1"/>
  <c r="E69" i="2"/>
  <c r="F69" i="2" s="1"/>
  <c r="E70" i="2"/>
  <c r="F70" i="2" s="1"/>
  <c r="E71" i="2"/>
  <c r="F71" i="2" s="1"/>
  <c r="E72" i="2"/>
  <c r="E73" i="2"/>
  <c r="F73" i="2" s="1"/>
  <c r="E74" i="2"/>
  <c r="F74" i="2" s="1"/>
  <c r="E75" i="2"/>
  <c r="F75" i="2" s="1"/>
  <c r="E76" i="2"/>
  <c r="F76" i="2" s="1"/>
  <c r="E77" i="2"/>
  <c r="F77" i="2" s="1"/>
  <c r="E78" i="2"/>
  <c r="F78" i="2" s="1"/>
  <c r="E79" i="2"/>
  <c r="F79" i="2" s="1"/>
  <c r="E80" i="2"/>
  <c r="F80" i="2" s="1"/>
  <c r="E81" i="2"/>
  <c r="F81" i="2" s="1"/>
  <c r="E82" i="2"/>
  <c r="F82" i="2" s="1"/>
  <c r="E83" i="2"/>
  <c r="F83" i="2" s="1"/>
  <c r="E84" i="2"/>
  <c r="F84" i="2" s="1"/>
  <c r="E85" i="2"/>
  <c r="F85" i="2" s="1"/>
  <c r="E86" i="2"/>
  <c r="F86" i="2" s="1"/>
  <c r="E87" i="2"/>
  <c r="F87" i="2" s="1"/>
  <c r="E88" i="2"/>
  <c r="F88" i="2" s="1"/>
  <c r="E89" i="2"/>
  <c r="F89" i="2" s="1"/>
  <c r="E90" i="2"/>
  <c r="F90" i="2" s="1"/>
  <c r="E91" i="2"/>
  <c r="F91" i="2" s="1"/>
  <c r="E92" i="2"/>
  <c r="F92" i="2" s="1"/>
  <c r="E93" i="2"/>
  <c r="F93" i="2" s="1"/>
  <c r="E94" i="2"/>
  <c r="F94" i="2" s="1"/>
  <c r="E95" i="2"/>
  <c r="F95" i="2" s="1"/>
  <c r="E96" i="2"/>
  <c r="F96" i="2" s="1"/>
  <c r="E97" i="2"/>
  <c r="F97" i="2" s="1"/>
  <c r="E98" i="2"/>
  <c r="F98" i="2" s="1"/>
  <c r="E99" i="2"/>
  <c r="F99" i="2" s="1"/>
  <c r="E100" i="2"/>
  <c r="F100" i="2" s="1"/>
  <c r="E101" i="2"/>
  <c r="F101" i="2" s="1"/>
  <c r="E102" i="2"/>
  <c r="F102" i="2" s="1"/>
  <c r="E103" i="2"/>
  <c r="F103" i="2" s="1"/>
  <c r="E104" i="2"/>
  <c r="F104" i="2" s="1"/>
  <c r="E105" i="2"/>
  <c r="F105" i="2" s="1"/>
  <c r="E106" i="2"/>
  <c r="F106" i="2" s="1"/>
  <c r="E107" i="2"/>
  <c r="F107" i="2" s="1"/>
  <c r="E108" i="2"/>
  <c r="F108" i="2" s="1"/>
  <c r="E109" i="2"/>
  <c r="F109" i="2" s="1"/>
  <c r="E110" i="2"/>
  <c r="F110" i="2" s="1"/>
  <c r="E111" i="2"/>
  <c r="F111" i="2" s="1"/>
  <c r="E112" i="2"/>
  <c r="F112" i="2" s="1"/>
  <c r="E113" i="2"/>
  <c r="F113" i="2" s="1"/>
  <c r="E114" i="2"/>
  <c r="F114" i="2" s="1"/>
  <c r="E115" i="2"/>
  <c r="F115" i="2" s="1"/>
  <c r="E116" i="2"/>
  <c r="F116" i="2" s="1"/>
  <c r="E117" i="2"/>
  <c r="F117" i="2" s="1"/>
  <c r="E118" i="2"/>
  <c r="F118" i="2" s="1"/>
  <c r="E119" i="2"/>
  <c r="F119" i="2" s="1"/>
  <c r="E120" i="2"/>
  <c r="F120" i="2" s="1"/>
  <c r="E121" i="2"/>
  <c r="F121" i="2" s="1"/>
  <c r="E122" i="2"/>
  <c r="F122" i="2" s="1"/>
  <c r="E123" i="2"/>
  <c r="F123" i="2" s="1"/>
  <c r="E124" i="2"/>
  <c r="F124" i="2" s="1"/>
  <c r="E125" i="2"/>
  <c r="F125" i="2" s="1"/>
  <c r="E126" i="2"/>
  <c r="F126" i="2" s="1"/>
  <c r="E127" i="2"/>
  <c r="F127" i="2" s="1"/>
  <c r="E128" i="2"/>
  <c r="F128" i="2" s="1"/>
  <c r="E129" i="2"/>
  <c r="F129" i="2" s="1"/>
  <c r="E130" i="2"/>
  <c r="E131" i="2"/>
  <c r="F131" i="2" s="1"/>
  <c r="E132" i="2"/>
  <c r="F132" i="2" s="1"/>
  <c r="E133" i="2"/>
  <c r="F133" i="2" s="1"/>
  <c r="E134" i="2"/>
  <c r="F134" i="2" s="1"/>
  <c r="E135" i="2"/>
  <c r="F135" i="2" s="1"/>
  <c r="E136" i="2"/>
  <c r="E137" i="2"/>
  <c r="F137" i="2" s="1"/>
  <c r="E138" i="2"/>
  <c r="F138" i="2" s="1"/>
  <c r="E139" i="2"/>
  <c r="F139" i="2" s="1"/>
  <c r="E140" i="2"/>
  <c r="F140" i="2" s="1"/>
  <c r="E141" i="2"/>
  <c r="F141" i="2" s="1"/>
  <c r="E142" i="2"/>
  <c r="F142" i="2" s="1"/>
  <c r="E143" i="2"/>
  <c r="F143" i="2" s="1"/>
  <c r="E144" i="2"/>
  <c r="F144" i="2" s="1"/>
  <c r="E145" i="2"/>
  <c r="F145" i="2" s="1"/>
  <c r="E146" i="2"/>
  <c r="F146" i="2" s="1"/>
  <c r="E147" i="2"/>
  <c r="F147" i="2" s="1"/>
  <c r="E148" i="2"/>
  <c r="F148" i="2" s="1"/>
  <c r="E149" i="2"/>
  <c r="F149" i="2" s="1"/>
  <c r="E150" i="2"/>
  <c r="F150" i="2" s="1"/>
  <c r="E151" i="2"/>
  <c r="F151" i="2" s="1"/>
  <c r="E152" i="2"/>
  <c r="F152" i="2" s="1"/>
  <c r="E153" i="2"/>
  <c r="F153" i="2" s="1"/>
  <c r="E154" i="2"/>
  <c r="F154" i="2" s="1"/>
  <c r="E155" i="2"/>
  <c r="F155" i="2" s="1"/>
  <c r="E156" i="2"/>
  <c r="F156" i="2" s="1"/>
  <c r="E157" i="2"/>
  <c r="F157" i="2" s="1"/>
  <c r="E158" i="2"/>
  <c r="F158" i="2" s="1"/>
  <c r="E159" i="2"/>
  <c r="F159" i="2" s="1"/>
  <c r="E160" i="2"/>
  <c r="F160" i="2" s="1"/>
  <c r="E161" i="2"/>
  <c r="F161" i="2" s="1"/>
  <c r="E162" i="2"/>
  <c r="F162" i="2" s="1"/>
  <c r="E163" i="2"/>
  <c r="F163" i="2" s="1"/>
  <c r="E164" i="2"/>
  <c r="F164" i="2" s="1"/>
  <c r="E165" i="2"/>
  <c r="F165" i="2" s="1"/>
  <c r="E166" i="2"/>
  <c r="F166" i="2" s="1"/>
  <c r="E167" i="2"/>
  <c r="F167" i="2" s="1"/>
  <c r="E168" i="2"/>
  <c r="F168" i="2" s="1"/>
  <c r="E169" i="2"/>
  <c r="F169" i="2" s="1"/>
  <c r="E170" i="2"/>
  <c r="F170" i="2" s="1"/>
  <c r="E171" i="2"/>
  <c r="F171" i="2" s="1"/>
  <c r="E172" i="2"/>
  <c r="F172" i="2" s="1"/>
  <c r="E173" i="2"/>
  <c r="F173" i="2" s="1"/>
  <c r="E174" i="2"/>
  <c r="F174" i="2" s="1"/>
  <c r="E175" i="2"/>
  <c r="F175" i="2" s="1"/>
  <c r="E176" i="2"/>
  <c r="F176" i="2" s="1"/>
  <c r="E177" i="2"/>
  <c r="F177" i="2" s="1"/>
  <c r="E178" i="2"/>
  <c r="F178" i="2" s="1"/>
  <c r="E179" i="2"/>
  <c r="F179" i="2" s="1"/>
  <c r="E180" i="2"/>
  <c r="F180" i="2" s="1"/>
  <c r="E181" i="2"/>
  <c r="F181" i="2" s="1"/>
  <c r="E182" i="2"/>
  <c r="F182" i="2" s="1"/>
  <c r="E183" i="2"/>
  <c r="F183" i="2" s="1"/>
  <c r="E184" i="2"/>
  <c r="F184" i="2" s="1"/>
  <c r="E185" i="2"/>
  <c r="F185" i="2" s="1"/>
  <c r="E186" i="2"/>
  <c r="F186" i="2" s="1"/>
  <c r="E187" i="2"/>
  <c r="F187" i="2" s="1"/>
  <c r="E188" i="2"/>
  <c r="F188" i="2" s="1"/>
  <c r="E189" i="2"/>
  <c r="F189" i="2" s="1"/>
  <c r="E190" i="2"/>
  <c r="F190" i="2" s="1"/>
  <c r="E191" i="2"/>
  <c r="F191" i="2" s="1"/>
  <c r="E192" i="2"/>
  <c r="F192" i="2" s="1"/>
  <c r="E193" i="2"/>
  <c r="F193" i="2" s="1"/>
  <c r="E194" i="2"/>
  <c r="E195" i="2"/>
  <c r="F195" i="2" s="1"/>
  <c r="E196" i="2"/>
  <c r="F196" i="2" s="1"/>
  <c r="E197" i="2"/>
  <c r="F197" i="2" s="1"/>
  <c r="E198" i="2"/>
  <c r="F198" i="2" s="1"/>
  <c r="E199" i="2"/>
  <c r="F199" i="2" s="1"/>
  <c r="E200" i="2"/>
  <c r="E201" i="2"/>
  <c r="F201" i="2" s="1"/>
  <c r="E202" i="2"/>
  <c r="F202" i="2" s="1"/>
  <c r="E203" i="2"/>
  <c r="F203" i="2" s="1"/>
  <c r="E204" i="2"/>
  <c r="F204" i="2" s="1"/>
  <c r="E205" i="2"/>
  <c r="F205" i="2" s="1"/>
  <c r="E206" i="2"/>
  <c r="F206" i="2" s="1"/>
  <c r="E207" i="2"/>
  <c r="F207" i="2" s="1"/>
  <c r="E208" i="2"/>
  <c r="F208" i="2" s="1"/>
  <c r="E209" i="2"/>
  <c r="F209" i="2" s="1"/>
  <c r="E210" i="2"/>
  <c r="F210" i="2" s="1"/>
  <c r="E211" i="2"/>
  <c r="F211" i="2" s="1"/>
  <c r="E212" i="2"/>
  <c r="F212" i="2" s="1"/>
  <c r="E213" i="2"/>
  <c r="F213" i="2" s="1"/>
  <c r="E214" i="2"/>
  <c r="F214" i="2" s="1"/>
  <c r="E215" i="2"/>
  <c r="F215" i="2" s="1"/>
  <c r="E216" i="2"/>
  <c r="F216" i="2" s="1"/>
  <c r="E217" i="2"/>
  <c r="F217" i="2" s="1"/>
  <c r="E218" i="2"/>
  <c r="F218" i="2" s="1"/>
  <c r="E219" i="2"/>
  <c r="F219" i="2" s="1"/>
  <c r="E220" i="2"/>
  <c r="F220" i="2" s="1"/>
  <c r="E221" i="2"/>
  <c r="F221" i="2" s="1"/>
  <c r="E222" i="2"/>
  <c r="F222" i="2" s="1"/>
  <c r="E223" i="2"/>
  <c r="F223" i="2" s="1"/>
  <c r="E224" i="2"/>
  <c r="F224" i="2" s="1"/>
  <c r="E225" i="2"/>
  <c r="F225" i="2" s="1"/>
  <c r="E226" i="2"/>
  <c r="F226" i="2" s="1"/>
  <c r="E227" i="2"/>
  <c r="F227" i="2" s="1"/>
  <c r="E228" i="2"/>
  <c r="F228" i="2" s="1"/>
  <c r="E229" i="2"/>
  <c r="F229" i="2" s="1"/>
  <c r="E230" i="2"/>
  <c r="F230" i="2" s="1"/>
  <c r="E231" i="2"/>
  <c r="F231" i="2" s="1"/>
  <c r="E232" i="2"/>
  <c r="F232" i="2" s="1"/>
  <c r="E233" i="2"/>
  <c r="F233" i="2" s="1"/>
  <c r="E234" i="2"/>
  <c r="F234" i="2" s="1"/>
  <c r="E235" i="2"/>
  <c r="F235" i="2" s="1"/>
  <c r="E236" i="2"/>
  <c r="F236" i="2" s="1"/>
  <c r="E237" i="2"/>
  <c r="F237" i="2" s="1"/>
  <c r="E238" i="2"/>
  <c r="F238" i="2" s="1"/>
  <c r="E239" i="2"/>
  <c r="F239" i="2" s="1"/>
  <c r="E240" i="2"/>
  <c r="F240" i="2" s="1"/>
  <c r="E241" i="2"/>
  <c r="F241" i="2" s="1"/>
  <c r="E242" i="2"/>
  <c r="F242" i="2" s="1"/>
  <c r="E243" i="2"/>
  <c r="F243" i="2" s="1"/>
  <c r="E244" i="2"/>
  <c r="F244" i="2" s="1"/>
  <c r="E245" i="2"/>
  <c r="F245" i="2" s="1"/>
  <c r="E246" i="2"/>
  <c r="F246" i="2" s="1"/>
  <c r="E247" i="2"/>
  <c r="F247" i="2" s="1"/>
  <c r="E248" i="2"/>
  <c r="F248" i="2" s="1"/>
  <c r="E249" i="2"/>
  <c r="F249" i="2" s="1"/>
  <c r="E250" i="2"/>
  <c r="F250" i="2" s="1"/>
  <c r="E251" i="2"/>
  <c r="F251" i="2" s="1"/>
  <c r="E252" i="2"/>
  <c r="F252" i="2" s="1"/>
  <c r="E253" i="2"/>
  <c r="F253" i="2" s="1"/>
  <c r="E254" i="2"/>
  <c r="F254" i="2" s="1"/>
  <c r="E255" i="2"/>
  <c r="F255" i="2" s="1"/>
  <c r="E256" i="2"/>
  <c r="F256" i="2" s="1"/>
  <c r="E257" i="2"/>
  <c r="F257" i="2" s="1"/>
  <c r="E258" i="2"/>
  <c r="E259" i="2"/>
  <c r="F259" i="2" s="1"/>
  <c r="E260" i="2"/>
  <c r="F260" i="2" s="1"/>
  <c r="E261" i="2"/>
  <c r="F261" i="2" s="1"/>
  <c r="E262" i="2"/>
  <c r="F262" i="2" s="1"/>
  <c r="E263" i="2"/>
  <c r="F263" i="2" s="1"/>
  <c r="E264" i="2"/>
  <c r="E265" i="2"/>
  <c r="F265" i="2" s="1"/>
  <c r="E266" i="2"/>
  <c r="F266" i="2" s="1"/>
  <c r="E267" i="2"/>
  <c r="F267" i="2" s="1"/>
  <c r="E268" i="2"/>
  <c r="F268" i="2" s="1"/>
  <c r="E269" i="2"/>
  <c r="F269" i="2" s="1"/>
  <c r="E270" i="2"/>
  <c r="F270" i="2" s="1"/>
  <c r="E271" i="2"/>
  <c r="F271" i="2" s="1"/>
  <c r="E272" i="2"/>
  <c r="F272" i="2" s="1"/>
  <c r="E273" i="2"/>
  <c r="F273" i="2" s="1"/>
  <c r="E274" i="2"/>
  <c r="F274" i="2" s="1"/>
  <c r="E275" i="2"/>
  <c r="F275" i="2" s="1"/>
  <c r="E276" i="2"/>
  <c r="F276" i="2" s="1"/>
  <c r="E277" i="2"/>
  <c r="F277" i="2" s="1"/>
  <c r="E278" i="2"/>
  <c r="F278" i="2" s="1"/>
  <c r="E279" i="2"/>
  <c r="F279" i="2" s="1"/>
  <c r="E280" i="2"/>
  <c r="F280" i="2" s="1"/>
  <c r="E281" i="2"/>
  <c r="F281" i="2" s="1"/>
  <c r="E282" i="2"/>
  <c r="F282" i="2" s="1"/>
  <c r="E283" i="2"/>
  <c r="F283" i="2" s="1"/>
  <c r="E284" i="2"/>
  <c r="F284" i="2" s="1"/>
  <c r="E285" i="2"/>
  <c r="F285" i="2" s="1"/>
  <c r="E286" i="2"/>
  <c r="F286" i="2" s="1"/>
  <c r="E287" i="2"/>
  <c r="F287" i="2" s="1"/>
  <c r="E288" i="2"/>
  <c r="F288" i="2" s="1"/>
  <c r="E289" i="2"/>
  <c r="F289" i="2" s="1"/>
  <c r="E290" i="2"/>
  <c r="F290" i="2" s="1"/>
  <c r="E291" i="2"/>
  <c r="F291" i="2" s="1"/>
  <c r="E292" i="2"/>
  <c r="F292" i="2" s="1"/>
  <c r="E293" i="2"/>
  <c r="F293" i="2" s="1"/>
  <c r="E294" i="2"/>
  <c r="F294" i="2" s="1"/>
  <c r="E295" i="2"/>
  <c r="F295" i="2" s="1"/>
  <c r="E296" i="2"/>
  <c r="F296" i="2" s="1"/>
  <c r="E297" i="2"/>
  <c r="F297" i="2" s="1"/>
  <c r="E298" i="2"/>
  <c r="F298" i="2" s="1"/>
  <c r="E299" i="2"/>
  <c r="F299" i="2" s="1"/>
  <c r="E300" i="2"/>
  <c r="F300" i="2" s="1"/>
  <c r="E301" i="2"/>
  <c r="F301" i="2" s="1"/>
  <c r="F2" i="7"/>
  <c r="AE120" i="7"/>
  <c r="AG120" i="7" s="1"/>
  <c r="AJ3" i="7"/>
  <c r="AM3" i="7" s="1"/>
  <c r="AE3" i="7" s="1"/>
  <c r="AG3" i="7" s="1"/>
  <c r="AJ4" i="7"/>
  <c r="AE4" i="7" s="1"/>
  <c r="AG4" i="7" s="1"/>
  <c r="AJ5" i="7"/>
  <c r="AM5" i="7" s="1"/>
  <c r="AE5" i="7" s="1"/>
  <c r="AG5" i="7" s="1"/>
  <c r="AJ6" i="7"/>
  <c r="AM6" i="7" s="1"/>
  <c r="AE6" i="7" s="1"/>
  <c r="AG6" i="7" s="1"/>
  <c r="AJ7" i="7"/>
  <c r="AM7" i="7" s="1"/>
  <c r="AE7" i="7" s="1"/>
  <c r="AG7" i="7" s="1"/>
  <c r="AJ8" i="7"/>
  <c r="AM8" i="7" s="1"/>
  <c r="AE8" i="7" s="1"/>
  <c r="AG8" i="7" s="1"/>
  <c r="AJ9" i="7"/>
  <c r="AM9" i="7" s="1"/>
  <c r="AE9" i="7" s="1"/>
  <c r="AG9" i="7" s="1"/>
  <c r="AJ10" i="7"/>
  <c r="AM10" i="7" s="1"/>
  <c r="AE10" i="7" s="1"/>
  <c r="AG10" i="7" s="1"/>
  <c r="AJ11" i="7"/>
  <c r="AM11" i="7" s="1"/>
  <c r="AE11" i="7" s="1"/>
  <c r="AG11" i="7" s="1"/>
  <c r="AJ12" i="7"/>
  <c r="AM12" i="7" s="1"/>
  <c r="AE12" i="7" s="1"/>
  <c r="AG12" i="7" s="1"/>
  <c r="AJ13" i="7"/>
  <c r="AM13" i="7" s="1"/>
  <c r="AE13" i="7" s="1"/>
  <c r="AG13" i="7" s="1"/>
  <c r="AJ14" i="7"/>
  <c r="AJ15" i="7"/>
  <c r="AM15" i="7" s="1"/>
  <c r="AE15" i="7" s="1"/>
  <c r="AG15" i="7" s="1"/>
  <c r="AJ16" i="7"/>
  <c r="AM16" i="7" s="1"/>
  <c r="AE16" i="7" s="1"/>
  <c r="AG16" i="7" s="1"/>
  <c r="AJ17" i="7"/>
  <c r="AM17" i="7" s="1"/>
  <c r="AE17" i="7" s="1"/>
  <c r="AG17" i="7" s="1"/>
  <c r="AJ18" i="7"/>
  <c r="AM18" i="7" s="1"/>
  <c r="AE18" i="7" s="1"/>
  <c r="AG18" i="7" s="1"/>
  <c r="AJ19" i="7"/>
  <c r="AM19" i="7" s="1"/>
  <c r="AE19" i="7" s="1"/>
  <c r="AG19" i="7" s="1"/>
  <c r="AJ20" i="7"/>
  <c r="AM20" i="7" s="1"/>
  <c r="AE20" i="7" s="1"/>
  <c r="AG20" i="7" s="1"/>
  <c r="AJ21" i="7"/>
  <c r="AM21" i="7" s="1"/>
  <c r="AE21" i="7" s="1"/>
  <c r="AG21" i="7" s="1"/>
  <c r="AJ22" i="7"/>
  <c r="AM22" i="7" s="1"/>
  <c r="AE22" i="7" s="1"/>
  <c r="AG22" i="7" s="1"/>
  <c r="AJ23" i="7"/>
  <c r="AM23" i="7" s="1"/>
  <c r="AE23" i="7" s="1"/>
  <c r="AG23" i="7" s="1"/>
  <c r="AJ24" i="7"/>
  <c r="AM24" i="7" s="1"/>
  <c r="AE24" i="7" s="1"/>
  <c r="AG24" i="7" s="1"/>
  <c r="AJ25" i="7"/>
  <c r="AM25" i="7" s="1"/>
  <c r="AE25" i="7" s="1"/>
  <c r="AG25" i="7" s="1"/>
  <c r="AJ26" i="7"/>
  <c r="AM26" i="7" s="1"/>
  <c r="AE26" i="7" s="1"/>
  <c r="AG26" i="7" s="1"/>
  <c r="AJ27" i="7"/>
  <c r="AM27" i="7" s="1"/>
  <c r="AE27" i="7" s="1"/>
  <c r="AG27" i="7" s="1"/>
  <c r="AJ28" i="7"/>
  <c r="AM28" i="7" s="1"/>
  <c r="AE28" i="7" s="1"/>
  <c r="AG28" i="7" s="1"/>
  <c r="AJ29" i="7"/>
  <c r="AM29" i="7" s="1"/>
  <c r="AE29" i="7" s="1"/>
  <c r="AG29" i="7" s="1"/>
  <c r="AJ30" i="7"/>
  <c r="AM30" i="7" s="1"/>
  <c r="AE30" i="7" s="1"/>
  <c r="AG30" i="7" s="1"/>
  <c r="AJ31" i="7"/>
  <c r="AM31" i="7" s="1"/>
  <c r="AE31" i="7" s="1"/>
  <c r="AG31" i="7" s="1"/>
  <c r="AJ32" i="7"/>
  <c r="AM32" i="7" s="1"/>
  <c r="AE32" i="7" s="1"/>
  <c r="AG32" i="7" s="1"/>
  <c r="AJ33" i="7"/>
  <c r="AM33" i="7" s="1"/>
  <c r="AE33" i="7" s="1"/>
  <c r="AG33" i="7" s="1"/>
  <c r="AJ34" i="7"/>
  <c r="AM34" i="7" s="1"/>
  <c r="AE34" i="7" s="1"/>
  <c r="AG34" i="7" s="1"/>
  <c r="AJ35" i="7"/>
  <c r="AM35" i="7" s="1"/>
  <c r="AE35" i="7" s="1"/>
  <c r="AG35" i="7" s="1"/>
  <c r="AJ36" i="7"/>
  <c r="AM36" i="7" s="1"/>
  <c r="AE36" i="7" s="1"/>
  <c r="AG36" i="7" s="1"/>
  <c r="AJ37" i="7"/>
  <c r="AM37" i="7" s="1"/>
  <c r="AE37" i="7" s="1"/>
  <c r="AG37" i="7" s="1"/>
  <c r="AE38" i="7"/>
  <c r="AG38" i="7" s="1"/>
  <c r="AJ39" i="7"/>
  <c r="AM39" i="7" s="1"/>
  <c r="AE39" i="7" s="1"/>
  <c r="AG39" i="7" s="1"/>
  <c r="AJ40" i="7"/>
  <c r="AM40" i="7" s="1"/>
  <c r="AE40" i="7" s="1"/>
  <c r="AG40" i="7" s="1"/>
  <c r="AJ41" i="7"/>
  <c r="AM41" i="7" s="1"/>
  <c r="AE41" i="7" s="1"/>
  <c r="AG41" i="7" s="1"/>
  <c r="AJ42" i="7"/>
  <c r="AM42" i="7" s="1"/>
  <c r="AE42" i="7" s="1"/>
  <c r="AG42" i="7" s="1"/>
  <c r="AJ43" i="7"/>
  <c r="AM43" i="7" s="1"/>
  <c r="AE43" i="7" s="1"/>
  <c r="AG43" i="7" s="1"/>
  <c r="AJ44" i="7"/>
  <c r="AM44" i="7" s="1"/>
  <c r="AE44" i="7" s="1"/>
  <c r="AG44" i="7" s="1"/>
  <c r="AJ45" i="7"/>
  <c r="AM45" i="7" s="1"/>
  <c r="AE45" i="7" s="1"/>
  <c r="AG45" i="7" s="1"/>
  <c r="AJ46" i="7"/>
  <c r="AM46" i="7" s="1"/>
  <c r="AE46" i="7" s="1"/>
  <c r="AG46" i="7" s="1"/>
  <c r="AJ47" i="7"/>
  <c r="AM47" i="7" s="1"/>
  <c r="AE47" i="7" s="1"/>
  <c r="AG47" i="7" s="1"/>
  <c r="AJ48" i="7"/>
  <c r="AM48" i="7" s="1"/>
  <c r="AE48" i="7" s="1"/>
  <c r="AG48" i="7" s="1"/>
  <c r="AJ49" i="7"/>
  <c r="AM49" i="7" s="1"/>
  <c r="AE49" i="7" s="1"/>
  <c r="AG49" i="7" s="1"/>
  <c r="AJ50" i="7"/>
  <c r="AM50" i="7" s="1"/>
  <c r="AE50" i="7" s="1"/>
  <c r="AG50" i="7" s="1"/>
  <c r="AJ51" i="7"/>
  <c r="AM51" i="7" s="1"/>
  <c r="AE51" i="7" s="1"/>
  <c r="AG51" i="7" s="1"/>
  <c r="AJ52" i="7"/>
  <c r="AM52" i="7" s="1"/>
  <c r="AE52" i="7" s="1"/>
  <c r="AG52" i="7" s="1"/>
  <c r="AJ53" i="7"/>
  <c r="AM53" i="7" s="1"/>
  <c r="AE53" i="7" s="1"/>
  <c r="AG53" i="7" s="1"/>
  <c r="AJ54" i="7"/>
  <c r="AM54" i="7" s="1"/>
  <c r="AE54" i="7" s="1"/>
  <c r="AG54" i="7" s="1"/>
  <c r="AJ55" i="7"/>
  <c r="AM55" i="7" s="1"/>
  <c r="AE55" i="7" s="1"/>
  <c r="AG55" i="7" s="1"/>
  <c r="AJ56" i="7"/>
  <c r="AM56" i="7" s="1"/>
  <c r="AE56" i="7" s="1"/>
  <c r="AG56" i="7" s="1"/>
  <c r="AJ57" i="7"/>
  <c r="AM57" i="7" s="1"/>
  <c r="AE57" i="7" s="1"/>
  <c r="AG57" i="7" s="1"/>
  <c r="AJ58" i="7"/>
  <c r="AM58" i="7" s="1"/>
  <c r="AE58" i="7" s="1"/>
  <c r="AG58" i="7" s="1"/>
  <c r="AJ59" i="7"/>
  <c r="AM59" i="7" s="1"/>
  <c r="AE59" i="7" s="1"/>
  <c r="AG59" i="7" s="1"/>
  <c r="AJ60" i="7"/>
  <c r="AM60" i="7" s="1"/>
  <c r="AE60" i="7" s="1"/>
  <c r="AG60" i="7" s="1"/>
  <c r="AJ61" i="7"/>
  <c r="AM61" i="7" s="1"/>
  <c r="AE61" i="7" s="1"/>
  <c r="AG61" i="7" s="1"/>
  <c r="AJ62" i="7"/>
  <c r="AM62" i="7" s="1"/>
  <c r="AE62" i="7" s="1"/>
  <c r="AG62" i="7" s="1"/>
  <c r="AJ63" i="7"/>
  <c r="AM63" i="7" s="1"/>
  <c r="AE63" i="7" s="1"/>
  <c r="AG63" i="7" s="1"/>
  <c r="AJ64" i="7"/>
  <c r="AM64" i="7" s="1"/>
  <c r="AE64" i="7" s="1"/>
  <c r="AG64" i="7" s="1"/>
  <c r="AJ65" i="7"/>
  <c r="AM65" i="7" s="1"/>
  <c r="AE65" i="7" s="1"/>
  <c r="AG65" i="7" s="1"/>
  <c r="AJ66" i="7"/>
  <c r="AM66" i="7" s="1"/>
  <c r="AE66" i="7" s="1"/>
  <c r="AG66" i="7" s="1"/>
  <c r="AJ67" i="7"/>
  <c r="AM67" i="7" s="1"/>
  <c r="AE67" i="7" s="1"/>
  <c r="AG67" i="7" s="1"/>
  <c r="AJ68" i="7"/>
  <c r="AM68" i="7" s="1"/>
  <c r="AJ69" i="7"/>
  <c r="AM69" i="7" s="1"/>
  <c r="AE69" i="7" s="1"/>
  <c r="AG69" i="7" s="1"/>
  <c r="AJ70" i="7"/>
  <c r="AM70" i="7" s="1"/>
  <c r="AE70" i="7" s="1"/>
  <c r="AG70" i="7" s="1"/>
  <c r="AJ71" i="7"/>
  <c r="AM71" i="7" s="1"/>
  <c r="AE71" i="7" s="1"/>
  <c r="AG71" i="7" s="1"/>
  <c r="AJ72" i="7"/>
  <c r="AM72" i="7" s="1"/>
  <c r="AE72" i="7" s="1"/>
  <c r="AG72" i="7" s="1"/>
  <c r="AJ73" i="7"/>
  <c r="AM73" i="7" s="1"/>
  <c r="AE73" i="7" s="1"/>
  <c r="AG73" i="7" s="1"/>
  <c r="AJ74" i="7"/>
  <c r="AM74" i="7" s="1"/>
  <c r="AE74" i="7" s="1"/>
  <c r="AG74" i="7" s="1"/>
  <c r="AJ75" i="7"/>
  <c r="AM75" i="7" s="1"/>
  <c r="AE75" i="7" s="1"/>
  <c r="AG75" i="7" s="1"/>
  <c r="AJ76" i="7"/>
  <c r="AM76" i="7" s="1"/>
  <c r="AE76" i="7" s="1"/>
  <c r="AG76" i="7" s="1"/>
  <c r="AJ77" i="7"/>
  <c r="AM77" i="7" s="1"/>
  <c r="AE77" i="7" s="1"/>
  <c r="AG77" i="7" s="1"/>
  <c r="AJ78" i="7"/>
  <c r="AM78" i="7" s="1"/>
  <c r="AE78" i="7" s="1"/>
  <c r="AG78" i="7" s="1"/>
  <c r="AJ79" i="7"/>
  <c r="AM79" i="7" s="1"/>
  <c r="AE79" i="7" s="1"/>
  <c r="AG79" i="7" s="1"/>
  <c r="AJ80" i="7"/>
  <c r="AM80" i="7" s="1"/>
  <c r="AE80" i="7" s="1"/>
  <c r="AG80" i="7" s="1"/>
  <c r="AJ81" i="7"/>
  <c r="AM81" i="7" s="1"/>
  <c r="AE81" i="7" s="1"/>
  <c r="AG81" i="7" s="1"/>
  <c r="AJ82" i="7"/>
  <c r="AM82" i="7" s="1"/>
  <c r="AE82" i="7" s="1"/>
  <c r="AG82" i="7" s="1"/>
  <c r="AJ83" i="7"/>
  <c r="AM83" i="7" s="1"/>
  <c r="AE83" i="7" s="1"/>
  <c r="AG83" i="7" s="1"/>
  <c r="AJ84" i="7"/>
  <c r="AM84" i="7" s="1"/>
  <c r="AE84" i="7" s="1"/>
  <c r="AG84" i="7" s="1"/>
  <c r="AJ85" i="7"/>
  <c r="AM85" i="7" s="1"/>
  <c r="AE85" i="7" s="1"/>
  <c r="AG85" i="7" s="1"/>
  <c r="AJ86" i="7"/>
  <c r="AM86" i="7" s="1"/>
  <c r="AE86" i="7" s="1"/>
  <c r="AG86" i="7" s="1"/>
  <c r="AJ87" i="7"/>
  <c r="AM87" i="7" s="1"/>
  <c r="AE87" i="7" s="1"/>
  <c r="AG87" i="7" s="1"/>
  <c r="AJ88" i="7"/>
  <c r="AM88" i="7" s="1"/>
  <c r="AE88" i="7" s="1"/>
  <c r="AG88" i="7" s="1"/>
  <c r="AJ89" i="7"/>
  <c r="AM89" i="7" s="1"/>
  <c r="AE89" i="7" s="1"/>
  <c r="AG89" i="7" s="1"/>
  <c r="AJ90" i="7"/>
  <c r="AM90" i="7" s="1"/>
  <c r="AE90" i="7" s="1"/>
  <c r="AG90" i="7" s="1"/>
  <c r="AJ91" i="7"/>
  <c r="AM91" i="7" s="1"/>
  <c r="AE91" i="7" s="1"/>
  <c r="AG91" i="7" s="1"/>
  <c r="AJ92" i="7"/>
  <c r="AM92" i="7" s="1"/>
  <c r="AE92" i="7" s="1"/>
  <c r="AG92" i="7" s="1"/>
  <c r="AJ93" i="7"/>
  <c r="AM93" i="7" s="1"/>
  <c r="AE93" i="7" s="1"/>
  <c r="AG93" i="7" s="1"/>
  <c r="AJ94" i="7"/>
  <c r="AM94" i="7" s="1"/>
  <c r="AE94" i="7" s="1"/>
  <c r="AG94" i="7" s="1"/>
  <c r="AJ95" i="7"/>
  <c r="AM95" i="7" s="1"/>
  <c r="AE95" i="7" s="1"/>
  <c r="AG95" i="7" s="1"/>
  <c r="AJ96" i="7"/>
  <c r="AM96" i="7" s="1"/>
  <c r="AE96" i="7" s="1"/>
  <c r="AG96" i="7" s="1"/>
  <c r="AJ97" i="7"/>
  <c r="AM97" i="7" s="1"/>
  <c r="AE97" i="7" s="1"/>
  <c r="AG97" i="7" s="1"/>
  <c r="AJ98" i="7"/>
  <c r="AM98" i="7" s="1"/>
  <c r="AE98" i="7" s="1"/>
  <c r="AG98" i="7" s="1"/>
  <c r="AJ99" i="7"/>
  <c r="AM99" i="7" s="1"/>
  <c r="AE99" i="7" s="1"/>
  <c r="AG99" i="7" s="1"/>
  <c r="AJ100" i="7"/>
  <c r="AM100" i="7" s="1"/>
  <c r="AE100" i="7" s="1"/>
  <c r="AG100" i="7" s="1"/>
  <c r="AJ101" i="7"/>
  <c r="AM101" i="7" s="1"/>
  <c r="AE101" i="7" s="1"/>
  <c r="AG101" i="7" s="1"/>
  <c r="AJ102" i="7"/>
  <c r="AM102" i="7" s="1"/>
  <c r="AE102" i="7" s="1"/>
  <c r="AG102" i="7" s="1"/>
  <c r="AJ103" i="7"/>
  <c r="AM103" i="7" s="1"/>
  <c r="AE103" i="7" s="1"/>
  <c r="AG103" i="7" s="1"/>
  <c r="AJ104" i="7"/>
  <c r="AM104" i="7" s="1"/>
  <c r="AE104" i="7" s="1"/>
  <c r="AG104" i="7" s="1"/>
  <c r="AJ105" i="7"/>
  <c r="AM105" i="7" s="1"/>
  <c r="AE105" i="7" s="1"/>
  <c r="AG105" i="7" s="1"/>
  <c r="AJ106" i="7"/>
  <c r="AM106" i="7" s="1"/>
  <c r="AE106" i="7" s="1"/>
  <c r="AG106" i="7" s="1"/>
  <c r="AJ107" i="7"/>
  <c r="AM107" i="7" s="1"/>
  <c r="AE107" i="7" s="1"/>
  <c r="AG107" i="7" s="1"/>
  <c r="AJ108" i="7"/>
  <c r="AM108" i="7" s="1"/>
  <c r="AE108" i="7" s="1"/>
  <c r="AG108" i="7" s="1"/>
  <c r="AJ109" i="7"/>
  <c r="AM109" i="7" s="1"/>
  <c r="AE109" i="7" s="1"/>
  <c r="AG109" i="7" s="1"/>
  <c r="AJ110" i="7"/>
  <c r="AM110" i="7" s="1"/>
  <c r="AE110" i="7" s="1"/>
  <c r="AG110" i="7" s="1"/>
  <c r="AJ111" i="7"/>
  <c r="AM111" i="7" s="1"/>
  <c r="AE111" i="7" s="1"/>
  <c r="AG111" i="7" s="1"/>
  <c r="AJ112" i="7"/>
  <c r="AM112" i="7" s="1"/>
  <c r="AE112" i="7" s="1"/>
  <c r="AG112" i="7" s="1"/>
  <c r="AJ113" i="7"/>
  <c r="AM113" i="7" s="1"/>
  <c r="AE113" i="7" s="1"/>
  <c r="AG113" i="7" s="1"/>
  <c r="AJ114" i="7"/>
  <c r="AM114" i="7" s="1"/>
  <c r="AE114" i="7" s="1"/>
  <c r="AG114" i="7" s="1"/>
  <c r="AJ115" i="7"/>
  <c r="AM115" i="7" s="1"/>
  <c r="AE115" i="7" s="1"/>
  <c r="AG115" i="7" s="1"/>
  <c r="AJ116" i="7"/>
  <c r="AM116" i="7" s="1"/>
  <c r="AE116" i="7" s="1"/>
  <c r="AG116" i="7" s="1"/>
  <c r="AJ117" i="7"/>
  <c r="AM117" i="7" s="1"/>
  <c r="AE117" i="7" s="1"/>
  <c r="AG117" i="7" s="1"/>
  <c r="AJ118" i="7"/>
  <c r="AM118" i="7" s="1"/>
  <c r="AE118" i="7" s="1"/>
  <c r="AG118" i="7" s="1"/>
  <c r="AJ119" i="7"/>
  <c r="AM119" i="7" s="1"/>
  <c r="AE119" i="7" s="1"/>
  <c r="AG119" i="7" s="1"/>
  <c r="AJ120" i="7"/>
  <c r="AM120" i="7" s="1"/>
  <c r="AJ121" i="7"/>
  <c r="AM121" i="7" s="1"/>
  <c r="AE121" i="7" s="1"/>
  <c r="AG121" i="7" s="1"/>
  <c r="AJ122" i="7"/>
  <c r="AM122" i="7" s="1"/>
  <c r="AE122" i="7" s="1"/>
  <c r="AG122" i="7" s="1"/>
  <c r="AJ123" i="7"/>
  <c r="AM123" i="7" s="1"/>
  <c r="AE123" i="7" s="1"/>
  <c r="AG123" i="7" s="1"/>
  <c r="AJ124" i="7"/>
  <c r="AM124" i="7" s="1"/>
  <c r="AE124" i="7" s="1"/>
  <c r="AG124" i="7" s="1"/>
  <c r="AJ125" i="7"/>
  <c r="AM125" i="7" s="1"/>
  <c r="AE125" i="7" s="1"/>
  <c r="AG125" i="7" s="1"/>
  <c r="AJ126" i="7"/>
  <c r="AM126" i="7" s="1"/>
  <c r="AE126" i="7" s="1"/>
  <c r="AG126" i="7" s="1"/>
  <c r="AJ2" i="7"/>
  <c r="AM2" i="7" s="1"/>
  <c r="AE2" i="7" s="1"/>
  <c r="AG2" i="7" s="1"/>
  <c r="A106" i="7"/>
  <c r="A105" i="7"/>
  <c r="A104" i="7"/>
  <c r="AE68" i="7" l="1"/>
  <c r="AG68" i="7" s="1"/>
  <c r="AN68" i="7"/>
  <c r="U71" i="9"/>
  <c r="W6" i="9"/>
  <c r="W22" i="9"/>
  <c r="U13" i="9"/>
  <c r="U101" i="9"/>
  <c r="U112" i="9"/>
  <c r="U129" i="9"/>
  <c r="U69" i="9"/>
  <c r="W136" i="9"/>
  <c r="U136" i="9"/>
  <c r="U144" i="9"/>
  <c r="U19" i="9"/>
  <c r="U125" i="9"/>
  <c r="U103" i="9"/>
  <c r="W35" i="9"/>
  <c r="U104" i="9"/>
  <c r="U133" i="9"/>
  <c r="W43" i="9"/>
  <c r="U89" i="9"/>
  <c r="W88" i="9"/>
  <c r="U88" i="9"/>
  <c r="U30" i="9"/>
  <c r="W90" i="9"/>
  <c r="U128" i="9"/>
  <c r="U149" i="9"/>
  <c r="U12" i="9"/>
  <c r="W42" i="9"/>
  <c r="W122" i="9"/>
  <c r="W121" i="9"/>
  <c r="W80" i="9"/>
  <c r="U61" i="9"/>
  <c r="U143" i="9"/>
  <c r="U93" i="9"/>
  <c r="U79" i="9"/>
  <c r="W50" i="9"/>
  <c r="U23" i="9"/>
  <c r="U4" i="9"/>
  <c r="W34" i="9"/>
  <c r="U3" i="9"/>
  <c r="U132" i="9"/>
  <c r="U142" i="9"/>
  <c r="U87" i="9"/>
  <c r="W58" i="9"/>
  <c r="W138" i="9"/>
  <c r="U105" i="9"/>
  <c r="U102" i="9"/>
  <c r="W2" i="9"/>
  <c r="U118" i="9"/>
  <c r="U11" i="9"/>
  <c r="U140" i="9"/>
  <c r="U117" i="9"/>
  <c r="U70" i="9"/>
  <c r="U95" i="9"/>
  <c r="W82" i="9"/>
  <c r="W146" i="9"/>
  <c r="X43" i="8"/>
  <c r="Z43" i="8" s="1"/>
  <c r="AK17" i="8"/>
  <c r="AK35" i="8"/>
  <c r="AK32" i="8"/>
  <c r="AK16" i="8"/>
  <c r="AK39" i="8"/>
  <c r="X17" i="8"/>
  <c r="Z17" i="8" s="1"/>
  <c r="AK19" i="8"/>
  <c r="X52" i="8"/>
  <c r="Z52" i="8" s="1"/>
  <c r="X56" i="8"/>
  <c r="Z56" i="8" s="1"/>
  <c r="K62" i="8"/>
  <c r="AK69" i="8"/>
  <c r="AK82" i="8"/>
  <c r="AK14" i="8"/>
  <c r="AK38" i="8"/>
  <c r="AK2" i="8"/>
  <c r="AW33" i="8"/>
  <c r="AY33" i="8" s="1"/>
  <c r="X93" i="8"/>
  <c r="Z93" i="8" s="1"/>
  <c r="AK37" i="8"/>
  <c r="X46" i="8"/>
  <c r="Z46" i="8" s="1"/>
  <c r="AK61" i="8"/>
  <c r="AK102" i="8"/>
  <c r="K63" i="8"/>
  <c r="AK77" i="8"/>
  <c r="AK23" i="8"/>
  <c r="AW34" i="8"/>
  <c r="AY34" i="8" s="1"/>
  <c r="X91" i="8"/>
  <c r="Z91" i="8" s="1"/>
  <c r="AW103" i="8"/>
  <c r="AY103" i="8" s="1"/>
  <c r="K105" i="8"/>
  <c r="X49" i="8"/>
  <c r="Z49" i="8" s="1"/>
  <c r="AK10" i="8"/>
  <c r="AK40" i="8"/>
  <c r="AK44" i="8"/>
  <c r="AK59" i="8"/>
  <c r="AK63" i="8"/>
  <c r="X73" i="8"/>
  <c r="Z73" i="8" s="1"/>
  <c r="X82" i="8"/>
  <c r="Z82" i="8" s="1"/>
  <c r="AK83" i="8"/>
  <c r="X84" i="8"/>
  <c r="Z84" i="8" s="1"/>
  <c r="AW102" i="8"/>
  <c r="AY102" i="8" s="1"/>
  <c r="X53" i="8"/>
  <c r="Z53" i="8" s="1"/>
  <c r="X58" i="8"/>
  <c r="Z58" i="8" s="1"/>
  <c r="AO70" i="8"/>
  <c r="X81" i="8"/>
  <c r="Z81" i="8" s="1"/>
  <c r="AK87" i="8"/>
  <c r="AK99" i="8"/>
  <c r="AK68" i="8"/>
  <c r="X20" i="8"/>
  <c r="Z20" i="8" s="1"/>
  <c r="AK29" i="8"/>
  <c r="AW87" i="8"/>
  <c r="AY87" i="8" s="1"/>
  <c r="AW101" i="8"/>
  <c r="AK24" i="8"/>
  <c r="AK41" i="8"/>
  <c r="X103" i="8"/>
  <c r="Z103" i="8" s="1"/>
  <c r="AK8" i="8"/>
  <c r="T19" i="8"/>
  <c r="V19" i="8" s="1"/>
  <c r="K26" i="8"/>
  <c r="AK34" i="8"/>
  <c r="AW38" i="8"/>
  <c r="AY38" i="8" s="1"/>
  <c r="AW41" i="8"/>
  <c r="AY41" i="8" s="1"/>
  <c r="AW46" i="8"/>
  <c r="AY46" i="8" s="1"/>
  <c r="K64" i="8"/>
  <c r="AK65" i="8"/>
  <c r="K71" i="8"/>
  <c r="X92" i="8"/>
  <c r="Z92" i="8" s="1"/>
  <c r="AK98" i="8"/>
  <c r="AK104" i="8"/>
  <c r="U27" i="9"/>
  <c r="W14" i="9"/>
  <c r="U124" i="9"/>
  <c r="U141" i="9"/>
  <c r="U83" i="9"/>
  <c r="W83" i="9"/>
  <c r="W92" i="9"/>
  <c r="U92" i="9"/>
  <c r="U86" i="9"/>
  <c r="U36" i="9"/>
  <c r="W67" i="9"/>
  <c r="U66" i="9"/>
  <c r="W66" i="9"/>
  <c r="W44" i="9"/>
  <c r="U44" i="9"/>
  <c r="W68" i="9"/>
  <c r="U68" i="9"/>
  <c r="W100" i="9"/>
  <c r="U100" i="9"/>
  <c r="U75" i="9"/>
  <c r="W75" i="9"/>
  <c r="U10" i="9"/>
  <c r="U148" i="9"/>
  <c r="U38" i="9"/>
  <c r="U111" i="9"/>
  <c r="W51" i="9"/>
  <c r="W28" i="9"/>
  <c r="U28" i="9"/>
  <c r="U29" i="9"/>
  <c r="W29" i="9"/>
  <c r="U18" i="9"/>
  <c r="U109" i="9"/>
  <c r="U110" i="9"/>
  <c r="U119" i="9"/>
  <c r="W74" i="9"/>
  <c r="W52" i="9"/>
  <c r="U52" i="9"/>
  <c r="W108" i="9"/>
  <c r="U108" i="9"/>
  <c r="U45" i="9"/>
  <c r="U127" i="9"/>
  <c r="W59" i="9"/>
  <c r="W116" i="9"/>
  <c r="U116" i="9"/>
  <c r="W76" i="9"/>
  <c r="U76" i="9"/>
  <c r="W5" i="9"/>
  <c r="U5" i="9"/>
  <c r="X67" i="8"/>
  <c r="Z67" i="8" s="1"/>
  <c r="AW67" i="8"/>
  <c r="AY67" i="8" s="1"/>
  <c r="X96" i="8"/>
  <c r="Z96" i="8" s="1"/>
  <c r="AW96" i="8"/>
  <c r="AY96" i="8" s="1"/>
  <c r="V92" i="8"/>
  <c r="X5" i="8"/>
  <c r="Z5" i="8" s="1"/>
  <c r="AK6" i="8"/>
  <c r="AK7" i="8"/>
  <c r="AK15" i="8"/>
  <c r="AK20" i="8"/>
  <c r="X21" i="8"/>
  <c r="Z21" i="8" s="1"/>
  <c r="AK31" i="8"/>
  <c r="AK42" i="8"/>
  <c r="V43" i="8"/>
  <c r="X44" i="8"/>
  <c r="Z44" i="8" s="1"/>
  <c r="AK45" i="8"/>
  <c r="AW49" i="8"/>
  <c r="AY49" i="8" s="1"/>
  <c r="AW50" i="8"/>
  <c r="AY50" i="8" s="1"/>
  <c r="AW52" i="8"/>
  <c r="AY52" i="8" s="1"/>
  <c r="X65" i="8"/>
  <c r="Z65" i="8" s="1"/>
  <c r="AK66" i="8"/>
  <c r="X72" i="8"/>
  <c r="Z72" i="8" s="1"/>
  <c r="X80" i="8"/>
  <c r="Z80" i="8" s="1"/>
  <c r="AK81" i="8"/>
  <c r="K87" i="8"/>
  <c r="AK90" i="8"/>
  <c r="AK93" i="8"/>
  <c r="AK94" i="8"/>
  <c r="X101" i="8"/>
  <c r="Z101" i="8" s="1"/>
  <c r="X6" i="8"/>
  <c r="Z6" i="8" s="1"/>
  <c r="X4" i="8"/>
  <c r="Z4" i="8" s="1"/>
  <c r="AW6" i="8"/>
  <c r="AY6" i="8" s="1"/>
  <c r="K10" i="8"/>
  <c r="K12" i="8"/>
  <c r="X23" i="8"/>
  <c r="Z23" i="8" s="1"/>
  <c r="V24" i="8"/>
  <c r="AK27" i="8"/>
  <c r="AK30" i="8"/>
  <c r="AW42" i="8"/>
  <c r="AY42" i="8" s="1"/>
  <c r="AW53" i="8"/>
  <c r="AY53" i="8" s="1"/>
  <c r="AW54" i="8"/>
  <c r="AY54" i="8" s="1"/>
  <c r="AW56" i="8"/>
  <c r="AY56" i="8" s="1"/>
  <c r="AK57" i="8"/>
  <c r="AO72" i="8"/>
  <c r="AK78" i="8"/>
  <c r="AK80" i="8"/>
  <c r="AK101" i="8"/>
  <c r="AW48" i="8"/>
  <c r="AY48" i="8" s="1"/>
  <c r="AK21" i="8"/>
  <c r="AW43" i="8"/>
  <c r="AY43" i="8" s="1"/>
  <c r="K61" i="8"/>
  <c r="AO71" i="8"/>
  <c r="X88" i="8"/>
  <c r="Z88" i="8" s="1"/>
  <c r="AK96" i="8"/>
  <c r="AK97" i="8"/>
  <c r="AK100" i="8"/>
  <c r="X104" i="8"/>
  <c r="Z104" i="8" s="1"/>
  <c r="V7" i="8"/>
  <c r="AK28" i="8"/>
  <c r="AK36" i="8"/>
  <c r="X3" i="8"/>
  <c r="Z3" i="8" s="1"/>
  <c r="AK11" i="8"/>
  <c r="AW23" i="8"/>
  <c r="AY23" i="8" s="1"/>
  <c r="X34" i="8"/>
  <c r="Z34" i="8" s="1"/>
  <c r="X38" i="8"/>
  <c r="Z38" i="8" s="1"/>
  <c r="AW40" i="8"/>
  <c r="AY40" i="8" s="1"/>
  <c r="V41" i="8"/>
  <c r="AK86" i="8"/>
  <c r="AK95" i="8"/>
  <c r="T99" i="8"/>
  <c r="AW59" i="8"/>
  <c r="AY59" i="8" s="1"/>
  <c r="AW2" i="8"/>
  <c r="AY2" i="8" s="1"/>
  <c r="AK12" i="8"/>
  <c r="K18" i="8"/>
  <c r="AW37" i="8"/>
  <c r="AY37" i="8" s="1"/>
  <c r="X39" i="8"/>
  <c r="Z39" i="8" s="1"/>
  <c r="V40" i="8"/>
  <c r="AK46" i="8"/>
  <c r="AW47" i="8"/>
  <c r="AY47" i="8" s="1"/>
  <c r="X48" i="8"/>
  <c r="Z48" i="8" s="1"/>
  <c r="AK67" i="8"/>
  <c r="K73" i="8"/>
  <c r="K91" i="8"/>
  <c r="K92" i="8"/>
  <c r="X57" i="8"/>
  <c r="Z57" i="8" s="1"/>
  <c r="K15" i="8"/>
  <c r="AW32" i="8"/>
  <c r="AY32" i="8" s="1"/>
  <c r="AK33" i="8"/>
  <c r="AW51" i="8"/>
  <c r="AY51" i="8" s="1"/>
  <c r="T68" i="8"/>
  <c r="AK76" i="8"/>
  <c r="K90" i="8"/>
  <c r="AK103" i="8"/>
  <c r="T22" i="4"/>
  <c r="X22" i="4" s="1"/>
  <c r="V22" i="4"/>
  <c r="T31" i="4"/>
  <c r="X31" i="4" s="1"/>
  <c r="V31" i="4"/>
  <c r="T76" i="4"/>
  <c r="X76" i="4" s="1"/>
  <c r="V76" i="4"/>
  <c r="AF85" i="9"/>
  <c r="AH85" i="9" s="1"/>
  <c r="AO85" i="9"/>
  <c r="S85" i="9"/>
  <c r="AF84" i="9"/>
  <c r="AH84" i="9" s="1"/>
  <c r="AO84" i="9"/>
  <c r="S84" i="9"/>
  <c r="W84" i="9" s="1"/>
  <c r="X98" i="8"/>
  <c r="Z98" i="8" s="1"/>
  <c r="V98" i="8"/>
  <c r="AW98" i="8"/>
  <c r="AY98" i="8" s="1"/>
  <c r="AW39" i="8"/>
  <c r="AY39" i="8" s="1"/>
  <c r="V2" i="8"/>
  <c r="X22" i="8"/>
  <c r="Z22" i="8" s="1"/>
  <c r="X32" i="8"/>
  <c r="Z32" i="8" s="1"/>
  <c r="V37" i="8"/>
  <c r="AW44" i="8"/>
  <c r="AY44" i="8" s="1"/>
  <c r="AW65" i="8"/>
  <c r="AY65" i="8" s="1"/>
  <c r="X69" i="8"/>
  <c r="Z69" i="8" s="1"/>
  <c r="X74" i="8"/>
  <c r="Z74" i="8" s="1"/>
  <c r="X79" i="8"/>
  <c r="Z79" i="8" s="1"/>
  <c r="X85" i="8"/>
  <c r="Z85" i="8" s="1"/>
  <c r="X89" i="8"/>
  <c r="Z89" i="8" s="1"/>
  <c r="X97" i="8"/>
  <c r="Z97" i="8" s="1"/>
  <c r="V102" i="8"/>
  <c r="X9" i="8"/>
  <c r="Z9" i="8" s="1"/>
  <c r="X2" i="8"/>
  <c r="Z2" i="8" s="1"/>
  <c r="V5" i="8"/>
  <c r="K25" i="8"/>
  <c r="X37" i="8"/>
  <c r="Z37" i="8" s="1"/>
  <c r="K41" i="8"/>
  <c r="V42" i="8"/>
  <c r="AK43" i="8"/>
  <c r="V47" i="8"/>
  <c r="V51" i="8"/>
  <c r="V55" i="8"/>
  <c r="AK60" i="8"/>
  <c r="AK64" i="8"/>
  <c r="X102" i="8"/>
  <c r="Z102" i="8" s="1"/>
  <c r="T8" i="8"/>
  <c r="AK9" i="8"/>
  <c r="AK22" i="8"/>
  <c r="T36" i="8"/>
  <c r="X42" i="8"/>
  <c r="Z42" i="8" s="1"/>
  <c r="X47" i="8"/>
  <c r="Z47" i="8" s="1"/>
  <c r="X51" i="8"/>
  <c r="Z51" i="8" s="1"/>
  <c r="X55" i="8"/>
  <c r="Z55" i="8" s="1"/>
  <c r="AO74" i="8"/>
  <c r="X76" i="8"/>
  <c r="Z76" i="8" s="1"/>
  <c r="AK79" i="8"/>
  <c r="AK85" i="8"/>
  <c r="AK89" i="8"/>
  <c r="K95" i="8"/>
  <c r="V96" i="8"/>
  <c r="AW61" i="8"/>
  <c r="AY61" i="8" s="1"/>
  <c r="K11" i="8"/>
  <c r="K14" i="8"/>
  <c r="T25" i="8"/>
  <c r="K78" i="8"/>
  <c r="V101" i="8"/>
  <c r="V32" i="8"/>
  <c r="V69" i="8"/>
  <c r="AW97" i="8"/>
  <c r="AY97" i="8" s="1"/>
  <c r="T35" i="8"/>
  <c r="X41" i="8"/>
  <c r="Z41" i="8" s="1"/>
  <c r="V46" i="8"/>
  <c r="V50" i="8"/>
  <c r="V54" i="8"/>
  <c r="V67" i="8"/>
  <c r="K83" i="8"/>
  <c r="V95" i="8"/>
  <c r="X11" i="8"/>
  <c r="Z11" i="8" s="1"/>
  <c r="X14" i="8"/>
  <c r="Z14" i="8" s="1"/>
  <c r="K34" i="8"/>
  <c r="K75" i="8"/>
  <c r="X78" i="8"/>
  <c r="Z78" i="8" s="1"/>
  <c r="AK84" i="8"/>
  <c r="AK88" i="8"/>
  <c r="X95" i="8"/>
  <c r="Z95" i="8" s="1"/>
  <c r="V100" i="8"/>
  <c r="AW57" i="8"/>
  <c r="AY57" i="8" s="1"/>
  <c r="X100" i="8"/>
  <c r="Z100" i="8" s="1"/>
  <c r="V105" i="8"/>
  <c r="AW104" i="8"/>
  <c r="AY104" i="8" s="1"/>
  <c r="X7" i="8"/>
  <c r="Z7" i="8" s="1"/>
  <c r="X24" i="8"/>
  <c r="Z24" i="8" s="1"/>
  <c r="X40" i="8"/>
  <c r="Z40" i="8" s="1"/>
  <c r="V45" i="8"/>
  <c r="V66" i="8"/>
  <c r="V94" i="8"/>
  <c r="X105" i="8"/>
  <c r="Z105" i="8" s="1"/>
  <c r="K13" i="8"/>
  <c r="K16" i="8"/>
  <c r="K33" i="8"/>
  <c r="X45" i="8"/>
  <c r="Z45" i="8" s="1"/>
  <c r="AK58" i="8"/>
  <c r="AK62" i="8"/>
  <c r="X66" i="8"/>
  <c r="Z66" i="8" s="1"/>
  <c r="K70" i="8"/>
  <c r="X75" i="8"/>
  <c r="Z75" i="8" s="1"/>
  <c r="K77" i="8"/>
  <c r="K86" i="8"/>
  <c r="X94" i="8"/>
  <c r="Z94" i="8" s="1"/>
  <c r="V99" i="8"/>
  <c r="V104" i="8"/>
  <c r="V6" i="8"/>
  <c r="V23" i="8"/>
  <c r="V44" i="8"/>
  <c r="V65" i="8"/>
  <c r="AQ32" i="6"/>
  <c r="E32" i="6"/>
  <c r="F32" i="6" s="1"/>
  <c r="A32" i="6"/>
  <c r="AQ31" i="6"/>
  <c r="E31" i="6"/>
  <c r="F31" i="6" s="1"/>
  <c r="A31" i="6"/>
  <c r="AQ30" i="6"/>
  <c r="E30" i="6"/>
  <c r="F30" i="6" s="1"/>
  <c r="A30" i="6"/>
  <c r="AU29" i="6"/>
  <c r="AW29" i="6" s="1"/>
  <c r="L29" i="6"/>
  <c r="E29" i="6"/>
  <c r="F29" i="6" s="1"/>
  <c r="A29" i="6"/>
  <c r="AM28" i="6"/>
  <c r="AX28" i="6" s="1"/>
  <c r="AA28" i="6"/>
  <c r="AC28" i="6" s="1"/>
  <c r="V28" i="6"/>
  <c r="X28" i="6" s="1"/>
  <c r="E28" i="6"/>
  <c r="F28" i="6" s="1"/>
  <c r="A28" i="6"/>
  <c r="AM27" i="6"/>
  <c r="AU27" i="6" s="1"/>
  <c r="AA27" i="6"/>
  <c r="AC27" i="6" s="1"/>
  <c r="V27" i="6"/>
  <c r="X27" i="6" s="1"/>
  <c r="E27" i="6"/>
  <c r="F27" i="6" s="1"/>
  <c r="A27" i="6"/>
  <c r="AM26" i="6"/>
  <c r="R26" i="6" s="1"/>
  <c r="V26" i="6" s="1"/>
  <c r="X26" i="6" s="1"/>
  <c r="E26" i="6"/>
  <c r="F26" i="6" s="1"/>
  <c r="A26" i="6"/>
  <c r="AM25" i="6"/>
  <c r="AU25" i="6" s="1"/>
  <c r="AA25" i="6"/>
  <c r="AC25" i="6" s="1"/>
  <c r="V25" i="6"/>
  <c r="X25" i="6" s="1"/>
  <c r="E25" i="6"/>
  <c r="F25" i="6" s="1"/>
  <c r="A25" i="6"/>
  <c r="R24" i="6"/>
  <c r="AU24" i="6" s="1"/>
  <c r="L24" i="6"/>
  <c r="AJ24" i="6" s="1"/>
  <c r="E24" i="6"/>
  <c r="F24" i="6" s="1"/>
  <c r="A24" i="6"/>
  <c r="AM23" i="6"/>
  <c r="AU23" i="6" s="1"/>
  <c r="AA23" i="6"/>
  <c r="AC23" i="6" s="1"/>
  <c r="V23" i="6"/>
  <c r="X23" i="6" s="1"/>
  <c r="E23" i="6"/>
  <c r="F23" i="6" s="1"/>
  <c r="A23" i="6"/>
  <c r="AA22" i="6"/>
  <c r="R22" i="6" s="1"/>
  <c r="L22" i="6"/>
  <c r="AJ22" i="6" s="1"/>
  <c r="E22" i="6"/>
  <c r="F22" i="6" s="1"/>
  <c r="A22" i="6"/>
  <c r="R21" i="6"/>
  <c r="AU21" i="6" s="1"/>
  <c r="E21" i="6"/>
  <c r="F21" i="6" s="1"/>
  <c r="A21" i="6"/>
  <c r="R20" i="6"/>
  <c r="AU20" i="6" s="1"/>
  <c r="AW20" i="6" s="1"/>
  <c r="L20" i="6"/>
  <c r="E20" i="6"/>
  <c r="F20" i="6" s="1"/>
  <c r="A20" i="6"/>
  <c r="L19" i="6"/>
  <c r="E19" i="6"/>
  <c r="F19" i="6" s="1"/>
  <c r="A19" i="6"/>
  <c r="AA18" i="6"/>
  <c r="L18" i="6"/>
  <c r="E18" i="6"/>
  <c r="F18" i="6" s="1"/>
  <c r="A18" i="6"/>
  <c r="AM17" i="6"/>
  <c r="R17" i="6" s="1"/>
  <c r="AU17" i="6" s="1"/>
  <c r="L17" i="6"/>
  <c r="E17" i="6"/>
  <c r="F17" i="6" s="1"/>
  <c r="A17" i="6"/>
  <c r="AA16" i="6"/>
  <c r="L16" i="6"/>
  <c r="AJ16" i="6" s="1"/>
  <c r="E16" i="6"/>
  <c r="F16" i="6" s="1"/>
  <c r="A16" i="6"/>
  <c r="L15" i="6"/>
  <c r="E15" i="6"/>
  <c r="F15" i="6" s="1"/>
  <c r="A15" i="6"/>
  <c r="AW14" i="6"/>
  <c r="AQ14" i="6"/>
  <c r="AM14" i="6"/>
  <c r="L14" i="6"/>
  <c r="E14" i="6"/>
  <c r="F14" i="6" s="1"/>
  <c r="A14" i="6"/>
  <c r="R13" i="6"/>
  <c r="V13" i="6" s="1"/>
  <c r="X13" i="6" s="1"/>
  <c r="E13" i="6"/>
  <c r="F13" i="6" s="1"/>
  <c r="A13" i="6"/>
  <c r="AM12" i="6"/>
  <c r="AU12" i="6" s="1"/>
  <c r="V12" i="6"/>
  <c r="X12" i="6" s="1"/>
  <c r="E12" i="6"/>
  <c r="F12" i="6" s="1"/>
  <c r="A12" i="6"/>
  <c r="AA11" i="6"/>
  <c r="R11" i="6"/>
  <c r="L11" i="6"/>
  <c r="E11" i="6"/>
  <c r="F11" i="6" s="1"/>
  <c r="A11" i="6"/>
  <c r="AU10" i="6"/>
  <c r="AW10" i="6" s="1"/>
  <c r="AM10" i="6"/>
  <c r="AA10" i="6"/>
  <c r="S10" i="6"/>
  <c r="AB10" i="6" s="1"/>
  <c r="L10" i="6"/>
  <c r="E10" i="6"/>
  <c r="F10" i="6" s="1"/>
  <c r="A10" i="6"/>
  <c r="AA9" i="6"/>
  <c r="R9" i="6" s="1"/>
  <c r="L9" i="6"/>
  <c r="AJ9" i="6" s="1"/>
  <c r="E9" i="6"/>
  <c r="F9" i="6" s="1"/>
  <c r="A9" i="6"/>
  <c r="AU8" i="6"/>
  <c r="AW8" i="6" s="1"/>
  <c r="L8" i="6"/>
  <c r="AJ8" i="6" s="1"/>
  <c r="E8" i="6"/>
  <c r="F8" i="6" s="1"/>
  <c r="A8" i="6"/>
  <c r="AU7" i="6"/>
  <c r="AW7" i="6" s="1"/>
  <c r="V7" i="6"/>
  <c r="X7" i="6" s="1"/>
  <c r="E7" i="6"/>
  <c r="F7" i="6" s="1"/>
  <c r="A7" i="6"/>
  <c r="AM6" i="6"/>
  <c r="AU6" i="6" s="1"/>
  <c r="V6" i="6"/>
  <c r="X6" i="6" s="1"/>
  <c r="E6" i="6"/>
  <c r="F6" i="6" s="1"/>
  <c r="A6" i="6"/>
  <c r="L5" i="6"/>
  <c r="E5" i="6"/>
  <c r="F5" i="6" s="1"/>
  <c r="A5" i="6"/>
  <c r="L4" i="6"/>
  <c r="E4" i="6"/>
  <c r="F4" i="6" s="1"/>
  <c r="A4" i="6"/>
  <c r="L3" i="6"/>
  <c r="E3" i="6"/>
  <c r="F3" i="6" s="1"/>
  <c r="A3" i="6"/>
  <c r="R2" i="6"/>
  <c r="AU2" i="6" s="1"/>
  <c r="E2" i="6"/>
  <c r="F2" i="6" s="1"/>
  <c r="A2" i="6"/>
  <c r="I33" i="5"/>
  <c r="H33" i="5"/>
  <c r="K33" i="5" s="1"/>
  <c r="I32" i="5"/>
  <c r="H32" i="5"/>
  <c r="K32" i="5" s="1"/>
  <c r="I31" i="5"/>
  <c r="H31" i="5"/>
  <c r="K31" i="5" s="1"/>
  <c r="I30" i="5"/>
  <c r="H30" i="5"/>
  <c r="K30" i="5" s="1"/>
  <c r="I29" i="5"/>
  <c r="H29" i="5"/>
  <c r="K29" i="5" s="1"/>
  <c r="K28" i="5"/>
  <c r="I28" i="5"/>
  <c r="H28" i="5"/>
  <c r="I27" i="5"/>
  <c r="H27" i="5"/>
  <c r="K27" i="5" s="1"/>
  <c r="I26" i="5"/>
  <c r="H26" i="5"/>
  <c r="K26" i="5" s="1"/>
  <c r="I25" i="5"/>
  <c r="H25" i="5"/>
  <c r="K25" i="5" s="1"/>
  <c r="I24" i="5"/>
  <c r="H24" i="5"/>
  <c r="K24" i="5" s="1"/>
  <c r="K23" i="5"/>
  <c r="I23" i="5"/>
  <c r="H23" i="5"/>
  <c r="I22" i="5"/>
  <c r="H22" i="5"/>
  <c r="K22" i="5" s="1"/>
  <c r="I21" i="5"/>
  <c r="H21" i="5"/>
  <c r="K21" i="5" s="1"/>
  <c r="I20" i="5"/>
  <c r="H20" i="5"/>
  <c r="K20" i="5" s="1"/>
  <c r="I19" i="5"/>
  <c r="H19" i="5"/>
  <c r="K19" i="5" s="1"/>
  <c r="I18" i="5"/>
  <c r="H18" i="5"/>
  <c r="K18" i="5" s="1"/>
  <c r="I17" i="5"/>
  <c r="H17" i="5"/>
  <c r="K17" i="5" s="1"/>
  <c r="I16" i="5"/>
  <c r="H16" i="5"/>
  <c r="K16" i="5" s="1"/>
  <c r="I15" i="5"/>
  <c r="H15" i="5"/>
  <c r="K15" i="5" s="1"/>
  <c r="I14" i="5"/>
  <c r="H14" i="5"/>
  <c r="K14" i="5" s="1"/>
  <c r="I13" i="5"/>
  <c r="H13" i="5"/>
  <c r="K13" i="5" s="1"/>
  <c r="K12" i="5"/>
  <c r="I12" i="5"/>
  <c r="H12" i="5"/>
  <c r="I11" i="5"/>
  <c r="H11" i="5"/>
  <c r="K11" i="5" s="1"/>
  <c r="I10" i="5"/>
  <c r="H10" i="5"/>
  <c r="K10" i="5" s="1"/>
  <c r="I9" i="5"/>
  <c r="H9" i="5"/>
  <c r="K9" i="5" s="1"/>
  <c r="I8" i="5"/>
  <c r="H8" i="5"/>
  <c r="K8" i="5" s="1"/>
  <c r="K7" i="5"/>
  <c r="I7" i="5"/>
  <c r="H7" i="5"/>
  <c r="I6" i="5"/>
  <c r="H6" i="5"/>
  <c r="K6" i="5" s="1"/>
  <c r="I5" i="5"/>
  <c r="H5" i="5"/>
  <c r="K5" i="5" s="1"/>
  <c r="I4" i="5"/>
  <c r="H4" i="5"/>
  <c r="K4" i="5" s="1"/>
  <c r="I3" i="5"/>
  <c r="H3" i="5"/>
  <c r="U84" i="9" l="1"/>
  <c r="X19" i="8"/>
  <c r="Z19" i="8" s="1"/>
  <c r="AW19" i="8"/>
  <c r="AM9" i="6"/>
  <c r="AQ8" i="6"/>
  <c r="AQ10" i="6"/>
  <c r="AM8" i="6"/>
  <c r="R8" i="6" s="1"/>
  <c r="V8" i="6" s="1"/>
  <c r="X8" i="6" s="1"/>
  <c r="AC16" i="6"/>
  <c r="V22" i="6"/>
  <c r="X22" i="6" s="1"/>
  <c r="AM22" i="6"/>
  <c r="AU22" i="6" s="1"/>
  <c r="V11" i="6"/>
  <c r="X11" i="6" s="1"/>
  <c r="AC18" i="6"/>
  <c r="AD10" i="6"/>
  <c r="X99" i="8"/>
  <c r="Z99" i="8" s="1"/>
  <c r="AW99" i="8"/>
  <c r="AY99" i="8" s="1"/>
  <c r="X68" i="8"/>
  <c r="Z68" i="8" s="1"/>
  <c r="V68" i="8"/>
  <c r="AW68" i="8"/>
  <c r="AY68" i="8" s="1"/>
  <c r="V29" i="6"/>
  <c r="X29" i="6" s="1"/>
  <c r="AJ29" i="6"/>
  <c r="AC14" i="6"/>
  <c r="AJ14" i="6"/>
  <c r="AM5" i="6"/>
  <c r="AU5" i="6" s="1"/>
  <c r="AW5" i="6" s="1"/>
  <c r="AJ5" i="6"/>
  <c r="V5" i="6"/>
  <c r="X5" i="6" s="1"/>
  <c r="V3" i="6"/>
  <c r="X3" i="6" s="1"/>
  <c r="AJ3" i="6"/>
  <c r="V10" i="6"/>
  <c r="X10" i="6" s="1"/>
  <c r="AJ10" i="6"/>
  <c r="AM11" i="6"/>
  <c r="AU11" i="6" s="1"/>
  <c r="AQ11" i="6" s="1"/>
  <c r="AJ11" i="6"/>
  <c r="R16" i="6"/>
  <c r="V16" i="6" s="1"/>
  <c r="X16" i="6" s="1"/>
  <c r="V14" i="6"/>
  <c r="X14" i="6" s="1"/>
  <c r="AC17" i="6"/>
  <c r="AJ17" i="6"/>
  <c r="V15" i="6"/>
  <c r="X15" i="6" s="1"/>
  <c r="AJ15" i="6"/>
  <c r="AC10" i="6"/>
  <c r="AC11" i="6"/>
  <c r="AU13" i="6"/>
  <c r="AW13" i="6" s="1"/>
  <c r="V20" i="6"/>
  <c r="X20" i="6" s="1"/>
  <c r="AJ20" i="6"/>
  <c r="AM19" i="6"/>
  <c r="R19" i="6" s="1"/>
  <c r="V19" i="6" s="1"/>
  <c r="X19" i="6" s="1"/>
  <c r="AJ19" i="6"/>
  <c r="AU26" i="6"/>
  <c r="AW26" i="6" s="1"/>
  <c r="V4" i="6"/>
  <c r="X4" i="6" s="1"/>
  <c r="AJ4" i="6"/>
  <c r="AM16" i="6"/>
  <c r="AM18" i="6"/>
  <c r="AJ18" i="6"/>
  <c r="AC22" i="6"/>
  <c r="AQ29" i="6"/>
  <c r="AQ20" i="6"/>
  <c r="AQ7" i="6"/>
  <c r="W85" i="9"/>
  <c r="U85" i="9"/>
  <c r="AW36" i="8"/>
  <c r="AY36" i="8" s="1"/>
  <c r="X36" i="8"/>
  <c r="Z36" i="8" s="1"/>
  <c r="V36" i="8"/>
  <c r="AW25" i="8"/>
  <c r="AY25" i="8" s="1"/>
  <c r="X25" i="8"/>
  <c r="Z25" i="8" s="1"/>
  <c r="V25" i="8"/>
  <c r="T26" i="8"/>
  <c r="AW35" i="8"/>
  <c r="AY35" i="8" s="1"/>
  <c r="X35" i="8"/>
  <c r="Z35" i="8" s="1"/>
  <c r="V35" i="8"/>
  <c r="AW8" i="8"/>
  <c r="X8" i="8"/>
  <c r="Z8" i="8" s="1"/>
  <c r="V8" i="8"/>
  <c r="AW21" i="6"/>
  <c r="AQ21" i="6"/>
  <c r="AW24" i="6"/>
  <c r="AQ24" i="6"/>
  <c r="AW6" i="6"/>
  <c r="AQ6" i="6"/>
  <c r="AW27" i="6"/>
  <c r="AQ27" i="6"/>
  <c r="AW2" i="6"/>
  <c r="AQ2" i="6"/>
  <c r="V9" i="6"/>
  <c r="X9" i="6" s="1"/>
  <c r="AU9" i="6"/>
  <c r="AW25" i="6"/>
  <c r="AQ25" i="6"/>
  <c r="AQ17" i="6"/>
  <c r="AW17" i="6"/>
  <c r="AW12" i="6"/>
  <c r="AQ12" i="6"/>
  <c r="AQ23" i="6"/>
  <c r="AW23" i="6"/>
  <c r="AM15" i="6"/>
  <c r="AU15" i="6" s="1"/>
  <c r="R18" i="6"/>
  <c r="AC9" i="6"/>
  <c r="V21" i="6"/>
  <c r="X21" i="6" s="1"/>
  <c r="V2" i="6"/>
  <c r="X2" i="6" s="1"/>
  <c r="AU28" i="6"/>
  <c r="V24" i="6"/>
  <c r="X24" i="6" s="1"/>
  <c r="AM3" i="6"/>
  <c r="AU3" i="6" s="1"/>
  <c r="V17" i="6"/>
  <c r="X17" i="6" s="1"/>
  <c r="AM4" i="6"/>
  <c r="AU4" i="6" s="1"/>
  <c r="AX27" i="6"/>
  <c r="AA8" i="6" l="1"/>
  <c r="AC8" i="6" s="1"/>
  <c r="AU19" i="6"/>
  <c r="AQ13" i="6"/>
  <c r="AW11" i="6"/>
  <c r="AQ26" i="6"/>
  <c r="AQ5" i="6"/>
  <c r="AU16" i="6"/>
  <c r="AQ16" i="6" s="1"/>
  <c r="T27" i="8"/>
  <c r="AW26" i="8"/>
  <c r="AY26" i="8" s="1"/>
  <c r="X26" i="8"/>
  <c r="Z26" i="8" s="1"/>
  <c r="V26" i="8"/>
  <c r="AU18" i="6"/>
  <c r="V18" i="6"/>
  <c r="X18" i="6" s="1"/>
  <c r="AW15" i="6"/>
  <c r="AQ15" i="6"/>
  <c r="AQ4" i="6"/>
  <c r="AW4" i="6"/>
  <c r="AW19" i="6"/>
  <c r="AQ19" i="6"/>
  <c r="AW3" i="6"/>
  <c r="AQ3" i="6"/>
  <c r="AW28" i="6"/>
  <c r="AQ28" i="6"/>
  <c r="AQ9" i="6"/>
  <c r="AW9" i="6"/>
  <c r="AW22" i="6"/>
  <c r="AQ22" i="6"/>
  <c r="AW16" i="6" l="1"/>
  <c r="T28" i="8"/>
  <c r="X27" i="8"/>
  <c r="Z27" i="8" s="1"/>
  <c r="AW27" i="8"/>
  <c r="AY27" i="8" s="1"/>
  <c r="V27" i="8"/>
  <c r="AQ18" i="6"/>
  <c r="AW18" i="6"/>
  <c r="X28" i="8" l="1"/>
  <c r="Z28" i="8" s="1"/>
  <c r="V28" i="8"/>
  <c r="T29" i="8"/>
  <c r="AW28" i="8"/>
  <c r="AY28" i="8" s="1"/>
  <c r="AW29" i="8" l="1"/>
  <c r="AY29" i="8" s="1"/>
  <c r="X29" i="8"/>
  <c r="Z29" i="8" s="1"/>
  <c r="V29" i="8"/>
  <c r="T30" i="8"/>
  <c r="AW30" i="8" l="1"/>
  <c r="AY30" i="8" s="1"/>
  <c r="X30" i="8"/>
  <c r="Z30" i="8" s="1"/>
  <c r="V30" i="8"/>
  <c r="T31" i="8"/>
  <c r="AW31" i="8" l="1"/>
  <c r="AY31" i="8" s="1"/>
  <c r="X31" i="8"/>
  <c r="Z31" i="8" s="1"/>
  <c r="V31" i="8"/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2" i="2"/>
  <c r="AU120" i="4"/>
  <c r="E120" i="4"/>
  <c r="F120" i="4" s="1"/>
  <c r="AU119" i="4"/>
  <c r="AW119" i="4" s="1"/>
  <c r="E119" i="4"/>
  <c r="F119" i="4" s="1"/>
  <c r="AU118" i="4"/>
  <c r="E118" i="4"/>
  <c r="F118" i="4" s="1"/>
  <c r="AU117" i="4"/>
  <c r="E117" i="4"/>
  <c r="F117" i="4" s="1"/>
  <c r="AU116" i="4"/>
  <c r="E116" i="4"/>
  <c r="F116" i="4" s="1"/>
  <c r="AW115" i="4"/>
  <c r="AU115" i="4"/>
  <c r="AS115" i="4" s="1"/>
  <c r="R115" i="4" s="1"/>
  <c r="E115" i="4"/>
  <c r="F115" i="4" s="1"/>
  <c r="AW114" i="4"/>
  <c r="AU114" i="4"/>
  <c r="AS114" i="4" s="1"/>
  <c r="R114" i="4" s="1"/>
  <c r="E114" i="4"/>
  <c r="F114" i="4" s="1"/>
  <c r="AU113" i="4"/>
  <c r="E113" i="4"/>
  <c r="F113" i="4" s="1"/>
  <c r="AU112" i="4"/>
  <c r="E112" i="4"/>
  <c r="F112" i="4" s="1"/>
  <c r="AU111" i="4"/>
  <c r="AS111" i="4" s="1"/>
  <c r="R111" i="4" s="1"/>
  <c r="E111" i="4"/>
  <c r="F111" i="4" s="1"/>
  <c r="AU110" i="4"/>
  <c r="E110" i="4"/>
  <c r="F110" i="4" s="1"/>
  <c r="AU109" i="4"/>
  <c r="E109" i="4"/>
  <c r="F109" i="4" s="1"/>
  <c r="AU108" i="4"/>
  <c r="E108" i="4"/>
  <c r="F108" i="4" s="1"/>
  <c r="AU107" i="4"/>
  <c r="E107" i="4"/>
  <c r="F107" i="4" s="1"/>
  <c r="AU106" i="4"/>
  <c r="E106" i="4"/>
  <c r="F106" i="4" s="1"/>
  <c r="AU105" i="4"/>
  <c r="E105" i="4"/>
  <c r="F105" i="4" s="1"/>
  <c r="AU104" i="4"/>
  <c r="E104" i="4"/>
  <c r="F104" i="4" s="1"/>
  <c r="AU103" i="4"/>
  <c r="AS103" i="4" s="1"/>
  <c r="R103" i="4" s="1"/>
  <c r="E103" i="4"/>
  <c r="F103" i="4" s="1"/>
  <c r="AU102" i="4"/>
  <c r="E102" i="4"/>
  <c r="F102" i="4" s="1"/>
  <c r="AU101" i="4"/>
  <c r="E101" i="4"/>
  <c r="F101" i="4" s="1"/>
  <c r="AU100" i="4"/>
  <c r="E100" i="4"/>
  <c r="F100" i="4" s="1"/>
  <c r="AU99" i="4"/>
  <c r="E99" i="4"/>
  <c r="F99" i="4" s="1"/>
  <c r="AU98" i="4"/>
  <c r="E98" i="4"/>
  <c r="F98" i="4" s="1"/>
  <c r="AU97" i="4"/>
  <c r="AS97" i="4" s="1"/>
  <c r="R97" i="4" s="1"/>
  <c r="E97" i="4"/>
  <c r="F97" i="4" s="1"/>
  <c r="AU96" i="4"/>
  <c r="E96" i="4"/>
  <c r="F96" i="4" s="1"/>
  <c r="AU95" i="4"/>
  <c r="AS95" i="4" s="1"/>
  <c r="R95" i="4" s="1"/>
  <c r="E95" i="4"/>
  <c r="F95" i="4" s="1"/>
  <c r="AU94" i="4"/>
  <c r="E94" i="4"/>
  <c r="F94" i="4" s="1"/>
  <c r="AU93" i="4"/>
  <c r="E93" i="4"/>
  <c r="F93" i="4" s="1"/>
  <c r="AU92" i="4"/>
  <c r="E92" i="4"/>
  <c r="F92" i="4" s="1"/>
  <c r="AU91" i="4"/>
  <c r="E91" i="4"/>
  <c r="F91" i="4" s="1"/>
  <c r="AU90" i="4"/>
  <c r="E90" i="4"/>
  <c r="F90" i="4" s="1"/>
  <c r="AU89" i="4"/>
  <c r="AS89" i="4" s="1"/>
  <c r="R89" i="4" s="1"/>
  <c r="E89" i="4"/>
  <c r="F89" i="4" s="1"/>
  <c r="AU88" i="4"/>
  <c r="E88" i="4"/>
  <c r="F88" i="4" s="1"/>
  <c r="AU87" i="4"/>
  <c r="AS87" i="4" s="1"/>
  <c r="R87" i="4" s="1"/>
  <c r="E87" i="4"/>
  <c r="F87" i="4" s="1"/>
  <c r="AU86" i="4"/>
  <c r="AS86" i="4" s="1"/>
  <c r="R86" i="4" s="1"/>
  <c r="E86" i="4"/>
  <c r="F86" i="4" s="1"/>
  <c r="AU85" i="4"/>
  <c r="E85" i="4"/>
  <c r="F85" i="4" s="1"/>
  <c r="AU84" i="4"/>
  <c r="AS84" i="4" s="1"/>
  <c r="R84" i="4" s="1"/>
  <c r="E84" i="4"/>
  <c r="F84" i="4" s="1"/>
  <c r="AU83" i="4"/>
  <c r="E83" i="4"/>
  <c r="F83" i="4" s="1"/>
  <c r="AU82" i="4"/>
  <c r="AS82" i="4" s="1"/>
  <c r="R82" i="4" s="1"/>
  <c r="E82" i="4"/>
  <c r="F82" i="4" s="1"/>
  <c r="AU81" i="4"/>
  <c r="E81" i="4"/>
  <c r="F81" i="4" s="1"/>
  <c r="AU80" i="4"/>
  <c r="AS80" i="4" s="1"/>
  <c r="R80" i="4" s="1"/>
  <c r="E80" i="4"/>
  <c r="F80" i="4" s="1"/>
  <c r="AU79" i="4"/>
  <c r="E79" i="4"/>
  <c r="F79" i="4" s="1"/>
  <c r="AU78" i="4"/>
  <c r="E78" i="4"/>
  <c r="F78" i="4" s="1"/>
  <c r="AU77" i="4"/>
  <c r="E77" i="4"/>
  <c r="F77" i="4" s="1"/>
  <c r="AW76" i="4"/>
  <c r="E76" i="4"/>
  <c r="F76" i="4" s="1"/>
  <c r="AU75" i="4"/>
  <c r="AS75" i="4" s="1"/>
  <c r="R75" i="4" s="1"/>
  <c r="E75" i="4"/>
  <c r="F75" i="4" s="1"/>
  <c r="AU74" i="4"/>
  <c r="E74" i="4"/>
  <c r="F74" i="4" s="1"/>
  <c r="AU73" i="4"/>
  <c r="AS73" i="4" s="1"/>
  <c r="R73" i="4" s="1"/>
  <c r="E73" i="4"/>
  <c r="F73" i="4" s="1"/>
  <c r="AU72" i="4"/>
  <c r="E72" i="4"/>
  <c r="F72" i="4" s="1"/>
  <c r="AU71" i="4"/>
  <c r="E71" i="4"/>
  <c r="F71" i="4" s="1"/>
  <c r="AU70" i="4"/>
  <c r="E70" i="4"/>
  <c r="F70" i="4" s="1"/>
  <c r="AU69" i="4"/>
  <c r="AS69" i="4" s="1"/>
  <c r="R69" i="4" s="1"/>
  <c r="E69" i="4"/>
  <c r="F69" i="4" s="1"/>
  <c r="AU68" i="4"/>
  <c r="E68" i="4"/>
  <c r="F68" i="4" s="1"/>
  <c r="AU67" i="4"/>
  <c r="AS67" i="4" s="1"/>
  <c r="R67" i="4" s="1"/>
  <c r="E67" i="4"/>
  <c r="F67" i="4" s="1"/>
  <c r="AU66" i="4"/>
  <c r="E66" i="4"/>
  <c r="F66" i="4" s="1"/>
  <c r="AU65" i="4"/>
  <c r="AS65" i="4" s="1"/>
  <c r="R65" i="4" s="1"/>
  <c r="E65" i="4"/>
  <c r="F65" i="4" s="1"/>
  <c r="AU64" i="4"/>
  <c r="E64" i="4"/>
  <c r="F64" i="4" s="1"/>
  <c r="AU63" i="4"/>
  <c r="E63" i="4"/>
  <c r="F63" i="4" s="1"/>
  <c r="AU62" i="4"/>
  <c r="E62" i="4"/>
  <c r="F62" i="4" s="1"/>
  <c r="AU61" i="4"/>
  <c r="AS61" i="4" s="1"/>
  <c r="R61" i="4" s="1"/>
  <c r="E61" i="4"/>
  <c r="F61" i="4" s="1"/>
  <c r="AU60" i="4"/>
  <c r="E60" i="4"/>
  <c r="F60" i="4" s="1"/>
  <c r="AU59" i="4"/>
  <c r="AS59" i="4" s="1"/>
  <c r="R59" i="4" s="1"/>
  <c r="E59" i="4"/>
  <c r="F59" i="4" s="1"/>
  <c r="AU58" i="4"/>
  <c r="E58" i="4"/>
  <c r="F58" i="4" s="1"/>
  <c r="AU57" i="4"/>
  <c r="AS57" i="4" s="1"/>
  <c r="R57" i="4" s="1"/>
  <c r="E57" i="4"/>
  <c r="F57" i="4" s="1"/>
  <c r="AU56" i="4"/>
  <c r="E56" i="4"/>
  <c r="F56" i="4" s="1"/>
  <c r="AU55" i="4"/>
  <c r="E55" i="4"/>
  <c r="F55" i="4" s="1"/>
  <c r="AU54" i="4"/>
  <c r="E54" i="4"/>
  <c r="F54" i="4" s="1"/>
  <c r="AU53" i="4"/>
  <c r="AS53" i="4" s="1"/>
  <c r="R53" i="4" s="1"/>
  <c r="E53" i="4"/>
  <c r="F53" i="4" s="1"/>
  <c r="AU52" i="4"/>
  <c r="E52" i="4"/>
  <c r="F52" i="4" s="1"/>
  <c r="AW51" i="4"/>
  <c r="AU51" i="4"/>
  <c r="AS51" i="4" s="1"/>
  <c r="R51" i="4" s="1"/>
  <c r="E51" i="4"/>
  <c r="F51" i="4" s="1"/>
  <c r="AU50" i="4"/>
  <c r="E50" i="4"/>
  <c r="F50" i="4" s="1"/>
  <c r="AU49" i="4"/>
  <c r="AS49" i="4" s="1"/>
  <c r="R49" i="4" s="1"/>
  <c r="E49" i="4"/>
  <c r="F49" i="4" s="1"/>
  <c r="AU48" i="4"/>
  <c r="E48" i="4"/>
  <c r="F48" i="4" s="1"/>
  <c r="AU47" i="4"/>
  <c r="E47" i="4"/>
  <c r="F47" i="4" s="1"/>
  <c r="AU46" i="4"/>
  <c r="E46" i="4"/>
  <c r="F46" i="4" s="1"/>
  <c r="AU45" i="4"/>
  <c r="AS45" i="4" s="1"/>
  <c r="R45" i="4" s="1"/>
  <c r="E45" i="4"/>
  <c r="F45" i="4" s="1"/>
  <c r="AU44" i="4"/>
  <c r="E44" i="4"/>
  <c r="F44" i="4" s="1"/>
  <c r="AU43" i="4"/>
  <c r="AS43" i="4" s="1"/>
  <c r="R43" i="4" s="1"/>
  <c r="E43" i="4"/>
  <c r="F43" i="4" s="1"/>
  <c r="AU42" i="4"/>
  <c r="E42" i="4"/>
  <c r="F42" i="4" s="1"/>
  <c r="AU41" i="4"/>
  <c r="AS41" i="4" s="1"/>
  <c r="R41" i="4" s="1"/>
  <c r="E41" i="4"/>
  <c r="F41" i="4" s="1"/>
  <c r="AU40" i="4"/>
  <c r="E40" i="4"/>
  <c r="F40" i="4" s="1"/>
  <c r="AU39" i="4"/>
  <c r="E39" i="4"/>
  <c r="F39" i="4" s="1"/>
  <c r="AU38" i="4"/>
  <c r="E38" i="4"/>
  <c r="F38" i="4" s="1"/>
  <c r="AU37" i="4"/>
  <c r="AS37" i="4" s="1"/>
  <c r="R37" i="4" s="1"/>
  <c r="E37" i="4"/>
  <c r="F37" i="4" s="1"/>
  <c r="AU36" i="4"/>
  <c r="E36" i="4"/>
  <c r="F36" i="4" s="1"/>
  <c r="AU35" i="4"/>
  <c r="AS35" i="4" s="1"/>
  <c r="R35" i="4" s="1"/>
  <c r="E35" i="4"/>
  <c r="F35" i="4" s="1"/>
  <c r="AU34" i="4"/>
  <c r="E34" i="4"/>
  <c r="F34" i="4" s="1"/>
  <c r="AU33" i="4"/>
  <c r="AS33" i="4" s="1"/>
  <c r="R33" i="4" s="1"/>
  <c r="E33" i="4"/>
  <c r="F33" i="4" s="1"/>
  <c r="AU32" i="4"/>
  <c r="E32" i="4"/>
  <c r="F32" i="4" s="1"/>
  <c r="AW31" i="4"/>
  <c r="E31" i="4"/>
  <c r="F31" i="4" s="1"/>
  <c r="AU30" i="4"/>
  <c r="AW30" i="4" s="1"/>
  <c r="E30" i="4"/>
  <c r="F30" i="4" s="1"/>
  <c r="AU29" i="4"/>
  <c r="E29" i="4"/>
  <c r="F29" i="4" s="1"/>
  <c r="AU28" i="4"/>
  <c r="AS28" i="4" s="1"/>
  <c r="R28" i="4" s="1"/>
  <c r="E28" i="4"/>
  <c r="F28" i="4" s="1"/>
  <c r="AU27" i="4"/>
  <c r="E27" i="4"/>
  <c r="F27" i="4" s="1"/>
  <c r="AU26" i="4"/>
  <c r="AS26" i="4" s="1"/>
  <c r="R26" i="4" s="1"/>
  <c r="E26" i="4"/>
  <c r="F26" i="4" s="1"/>
  <c r="AU25" i="4"/>
  <c r="E25" i="4"/>
  <c r="F25" i="4" s="1"/>
  <c r="AU24" i="4"/>
  <c r="E24" i="4"/>
  <c r="F24" i="4" s="1"/>
  <c r="AU23" i="4"/>
  <c r="AS23" i="4" s="1"/>
  <c r="R23" i="4" s="1"/>
  <c r="E23" i="4"/>
  <c r="F23" i="4" s="1"/>
  <c r="AW22" i="4"/>
  <c r="E22" i="4"/>
  <c r="F22" i="4" s="1"/>
  <c r="AW21" i="4"/>
  <c r="AU21" i="4"/>
  <c r="AS21" i="4" s="1"/>
  <c r="R21" i="4" s="1"/>
  <c r="E21" i="4"/>
  <c r="F21" i="4" s="1"/>
  <c r="AU20" i="4"/>
  <c r="E20" i="4"/>
  <c r="F20" i="4" s="1"/>
  <c r="AU19" i="4"/>
  <c r="AS19" i="4" s="1"/>
  <c r="R19" i="4" s="1"/>
  <c r="E19" i="4"/>
  <c r="F19" i="4" s="1"/>
  <c r="AU18" i="4"/>
  <c r="E18" i="4"/>
  <c r="F18" i="4" s="1"/>
  <c r="AU17" i="4"/>
  <c r="E17" i="4"/>
  <c r="F17" i="4" s="1"/>
  <c r="AU16" i="4"/>
  <c r="AS16" i="4" s="1"/>
  <c r="R16" i="4" s="1"/>
  <c r="D16" i="4"/>
  <c r="E16" i="4" s="1"/>
  <c r="F16" i="4" s="1"/>
  <c r="AU15" i="4"/>
  <c r="AS15" i="4" s="1"/>
  <c r="R15" i="4" s="1"/>
  <c r="E15" i="4"/>
  <c r="F15" i="4" s="1"/>
  <c r="AU14" i="4"/>
  <c r="AW14" i="4" s="1"/>
  <c r="E14" i="4"/>
  <c r="F14" i="4" s="1"/>
  <c r="AU13" i="4"/>
  <c r="E13" i="4"/>
  <c r="F13" i="4" s="1"/>
  <c r="AU12" i="4"/>
  <c r="AS12" i="4" s="1"/>
  <c r="R12" i="4" s="1"/>
  <c r="E12" i="4"/>
  <c r="F12" i="4" s="1"/>
  <c r="AU11" i="4"/>
  <c r="E11" i="4"/>
  <c r="F11" i="4" s="1"/>
  <c r="AU10" i="4"/>
  <c r="AS10" i="4" s="1"/>
  <c r="R10" i="4" s="1"/>
  <c r="D10" i="4"/>
  <c r="E10" i="4" s="1"/>
  <c r="F10" i="4" s="1"/>
  <c r="AU9" i="4"/>
  <c r="AS9" i="4" s="1"/>
  <c r="R9" i="4" s="1"/>
  <c r="D9" i="4"/>
  <c r="E9" i="4" s="1"/>
  <c r="F9" i="4" s="1"/>
  <c r="AU8" i="4"/>
  <c r="AS8" i="4" s="1"/>
  <c r="R8" i="4" s="1"/>
  <c r="D8" i="4"/>
  <c r="E8" i="4" s="1"/>
  <c r="F8" i="4" s="1"/>
  <c r="AU7" i="4"/>
  <c r="AS7" i="4" s="1"/>
  <c r="R7" i="4" s="1"/>
  <c r="D7" i="4"/>
  <c r="E7" i="4" s="1"/>
  <c r="F7" i="4" s="1"/>
  <c r="AU6" i="4"/>
  <c r="AS6" i="4" s="1"/>
  <c r="R6" i="4" s="1"/>
  <c r="D6" i="4"/>
  <c r="E6" i="4" s="1"/>
  <c r="F6" i="4" s="1"/>
  <c r="AU5" i="4"/>
  <c r="AS5" i="4" s="1"/>
  <c r="R5" i="4" s="1"/>
  <c r="E5" i="4"/>
  <c r="F5" i="4" s="1"/>
  <c r="AU4" i="4"/>
  <c r="E4" i="4"/>
  <c r="F4" i="4" s="1"/>
  <c r="AU3" i="4"/>
  <c r="E3" i="4"/>
  <c r="F3" i="4" s="1"/>
  <c r="AU2" i="4"/>
  <c r="AS2" i="4" s="1"/>
  <c r="R2" i="4" s="1"/>
  <c r="E2" i="4"/>
  <c r="F2" i="4" s="1"/>
  <c r="AW19" i="4" l="1"/>
  <c r="AW59" i="4"/>
  <c r="AW61" i="4"/>
  <c r="AW69" i="4"/>
  <c r="AW49" i="4"/>
  <c r="T95" i="4"/>
  <c r="X95" i="4" s="1"/>
  <c r="V95" i="4"/>
  <c r="T73" i="4"/>
  <c r="X73" i="4" s="1"/>
  <c r="V73" i="4"/>
  <c r="T115" i="4"/>
  <c r="X115" i="4" s="1"/>
  <c r="V115" i="4"/>
  <c r="AW16" i="4"/>
  <c r="T23" i="4"/>
  <c r="X23" i="4" s="1"/>
  <c r="V23" i="4"/>
  <c r="V53" i="4"/>
  <c r="T53" i="4"/>
  <c r="X53" i="4" s="1"/>
  <c r="T89" i="4"/>
  <c r="X89" i="4" s="1"/>
  <c r="V89" i="4"/>
  <c r="T97" i="4"/>
  <c r="X97" i="4" s="1"/>
  <c r="V97" i="4"/>
  <c r="T2" i="4"/>
  <c r="X2" i="4" s="1"/>
  <c r="V2" i="4"/>
  <c r="T103" i="4"/>
  <c r="X103" i="4" s="1"/>
  <c r="V103" i="4"/>
  <c r="T16" i="4"/>
  <c r="X16" i="4" s="1"/>
  <c r="V16" i="4"/>
  <c r="T7" i="4"/>
  <c r="X7" i="4" s="1"/>
  <c r="V7" i="4"/>
  <c r="T10" i="4"/>
  <c r="X10" i="4" s="1"/>
  <c r="V10" i="4"/>
  <c r="T35" i="4"/>
  <c r="X35" i="4" s="1"/>
  <c r="V35" i="4"/>
  <c r="AW53" i="4"/>
  <c r="T57" i="4"/>
  <c r="X57" i="4" s="1"/>
  <c r="V57" i="4"/>
  <c r="T67" i="4"/>
  <c r="X67" i="4" s="1"/>
  <c r="V67" i="4"/>
  <c r="T82" i="4"/>
  <c r="X82" i="4" s="1"/>
  <c r="V82" i="4"/>
  <c r="V5" i="4"/>
  <c r="T5" i="4"/>
  <c r="X5" i="4" s="1"/>
  <c r="T28" i="4"/>
  <c r="X28" i="4" s="1"/>
  <c r="V28" i="4"/>
  <c r="T43" i="4"/>
  <c r="X43" i="4" s="1"/>
  <c r="V43" i="4"/>
  <c r="AW57" i="4"/>
  <c r="AW67" i="4"/>
  <c r="T86" i="4"/>
  <c r="X86" i="4" s="1"/>
  <c r="V86" i="4"/>
  <c r="T65" i="4"/>
  <c r="X65" i="4" s="1"/>
  <c r="V65" i="4"/>
  <c r="T8" i="4"/>
  <c r="X8" i="4" s="1"/>
  <c r="V8" i="4"/>
  <c r="V21" i="4"/>
  <c r="T21" i="4"/>
  <c r="X21" i="4" s="1"/>
  <c r="T51" i="4"/>
  <c r="X51" i="4" s="1"/>
  <c r="V51" i="4"/>
  <c r="V61" i="4"/>
  <c r="T61" i="4"/>
  <c r="X61" i="4" s="1"/>
  <c r="T75" i="4"/>
  <c r="X75" i="4" s="1"/>
  <c r="V75" i="4"/>
  <c r="T15" i="4"/>
  <c r="X15" i="4" s="1"/>
  <c r="V15" i="4"/>
  <c r="T33" i="4"/>
  <c r="X33" i="4" s="1"/>
  <c r="V33" i="4"/>
  <c r="V37" i="4"/>
  <c r="T37" i="4"/>
  <c r="X37" i="4" s="1"/>
  <c r="AW65" i="4"/>
  <c r="T80" i="4"/>
  <c r="X80" i="4" s="1"/>
  <c r="V80" i="4"/>
  <c r="T84" i="4"/>
  <c r="X84" i="4" s="1"/>
  <c r="V84" i="4"/>
  <c r="AW103" i="4"/>
  <c r="T111" i="4"/>
  <c r="X111" i="4" s="1"/>
  <c r="V111" i="4"/>
  <c r="T87" i="4"/>
  <c r="X87" i="4" s="1"/>
  <c r="V87" i="4"/>
  <c r="T114" i="4"/>
  <c r="X114" i="4" s="1"/>
  <c r="V114" i="4"/>
  <c r="T6" i="4"/>
  <c r="X6" i="4" s="1"/>
  <c r="V6" i="4"/>
  <c r="T12" i="4"/>
  <c r="X12" i="4" s="1"/>
  <c r="V12" i="4"/>
  <c r="T9" i="4"/>
  <c r="X9" i="4" s="1"/>
  <c r="V9" i="4"/>
  <c r="T19" i="4"/>
  <c r="X19" i="4" s="1"/>
  <c r="V19" i="4"/>
  <c r="T26" i="4"/>
  <c r="X26" i="4" s="1"/>
  <c r="V26" i="4"/>
  <c r="AW37" i="4"/>
  <c r="T41" i="4"/>
  <c r="X41" i="4" s="1"/>
  <c r="V41" i="4"/>
  <c r="V45" i="4"/>
  <c r="T45" i="4"/>
  <c r="X45" i="4" s="1"/>
  <c r="T49" i="4"/>
  <c r="X49" i="4" s="1"/>
  <c r="V49" i="4"/>
  <c r="T59" i="4"/>
  <c r="X59" i="4" s="1"/>
  <c r="V59" i="4"/>
  <c r="V69" i="4"/>
  <c r="T69" i="4"/>
  <c r="X69" i="4" s="1"/>
  <c r="AW84" i="4"/>
  <c r="AW111" i="4"/>
  <c r="AW42" i="4"/>
  <c r="AS42" i="4"/>
  <c r="R42" i="4" s="1"/>
  <c r="AW83" i="4"/>
  <c r="AS83" i="4"/>
  <c r="R83" i="4" s="1"/>
  <c r="AW3" i="4"/>
  <c r="AS3" i="4"/>
  <c r="R3" i="4" s="1"/>
  <c r="AW5" i="4"/>
  <c r="AW9" i="4"/>
  <c r="AS18" i="4"/>
  <c r="R18" i="4" s="1"/>
  <c r="AW20" i="4"/>
  <c r="AS20" i="4"/>
  <c r="R20" i="4" s="1"/>
  <c r="AS30" i="4"/>
  <c r="R30" i="4" s="1"/>
  <c r="AW39" i="4"/>
  <c r="AS39" i="4"/>
  <c r="R39" i="4" s="1"/>
  <c r="AW41" i="4"/>
  <c r="AW43" i="4"/>
  <c r="AW45" i="4"/>
  <c r="AW70" i="4"/>
  <c r="AS70" i="4"/>
  <c r="R70" i="4" s="1"/>
  <c r="AW78" i="4"/>
  <c r="AS78" i="4"/>
  <c r="R78" i="4" s="1"/>
  <c r="AW80" i="4"/>
  <c r="AW82" i="4"/>
  <c r="AS4" i="4"/>
  <c r="R4" i="4" s="1"/>
  <c r="AW81" i="4"/>
  <c r="AS81" i="4"/>
  <c r="R81" i="4" s="1"/>
  <c r="AW11" i="4"/>
  <c r="AS11" i="4"/>
  <c r="R11" i="4" s="1"/>
  <c r="AW13" i="4"/>
  <c r="AS13" i="4"/>
  <c r="R13" i="4" s="1"/>
  <c r="AS32" i="4"/>
  <c r="R32" i="4" s="1"/>
  <c r="AW34" i="4"/>
  <c r="AS34" i="4"/>
  <c r="R34" i="4" s="1"/>
  <c r="AW36" i="4"/>
  <c r="AS36" i="4"/>
  <c r="R36" i="4" s="1"/>
  <c r="AW47" i="4"/>
  <c r="AS47" i="4"/>
  <c r="R47" i="4" s="1"/>
  <c r="AW55" i="4"/>
  <c r="AS55" i="4"/>
  <c r="R55" i="4" s="1"/>
  <c r="AS94" i="4"/>
  <c r="R94" i="4" s="1"/>
  <c r="AW96" i="4"/>
  <c r="AS96" i="4"/>
  <c r="R96" i="4" s="1"/>
  <c r="AW98" i="4"/>
  <c r="AS98" i="4"/>
  <c r="R98" i="4" s="1"/>
  <c r="AW117" i="4"/>
  <c r="AS117" i="4"/>
  <c r="R117" i="4" s="1"/>
  <c r="AW8" i="4"/>
  <c r="AW15" i="4"/>
  <c r="AW24" i="4"/>
  <c r="AS24" i="4"/>
  <c r="R24" i="4" s="1"/>
  <c r="AW26" i="4"/>
  <c r="AW28" i="4"/>
  <c r="AW63" i="4"/>
  <c r="AS63" i="4"/>
  <c r="R63" i="4" s="1"/>
  <c r="AW88" i="4"/>
  <c r="AS88" i="4"/>
  <c r="R88" i="4" s="1"/>
  <c r="AW90" i="4"/>
  <c r="AS90" i="4"/>
  <c r="R90" i="4" s="1"/>
  <c r="AW92" i="4"/>
  <c r="AS92" i="4"/>
  <c r="R92" i="4" s="1"/>
  <c r="AS102" i="4"/>
  <c r="R102" i="4" s="1"/>
  <c r="AW104" i="4"/>
  <c r="AS104" i="4"/>
  <c r="R104" i="4" s="1"/>
  <c r="AS110" i="4"/>
  <c r="R110" i="4" s="1"/>
  <c r="AW112" i="4"/>
  <c r="AS112" i="4"/>
  <c r="R112" i="4" s="1"/>
  <c r="AW100" i="4"/>
  <c r="AS100" i="4"/>
  <c r="R100" i="4" s="1"/>
  <c r="AW120" i="4"/>
  <c r="AS120" i="4"/>
  <c r="R120" i="4" s="1"/>
  <c r="AW7" i="4"/>
  <c r="AS14" i="4"/>
  <c r="R14" i="4" s="1"/>
  <c r="AW38" i="4"/>
  <c r="AS38" i="4"/>
  <c r="R38" i="4" s="1"/>
  <c r="AS48" i="4"/>
  <c r="R48" i="4" s="1"/>
  <c r="AW50" i="4"/>
  <c r="AS50" i="4"/>
  <c r="R50" i="4" s="1"/>
  <c r="AW52" i="4"/>
  <c r="AS52" i="4"/>
  <c r="R52" i="4" s="1"/>
  <c r="AS56" i="4"/>
  <c r="R56" i="4" s="1"/>
  <c r="AW58" i="4"/>
  <c r="AS58" i="4"/>
  <c r="R58" i="4" s="1"/>
  <c r="AW60" i="4"/>
  <c r="AS60" i="4"/>
  <c r="R60" i="4" s="1"/>
  <c r="AW71" i="4"/>
  <c r="AS71" i="4"/>
  <c r="R71" i="4" s="1"/>
  <c r="AW73" i="4"/>
  <c r="AW75" i="4"/>
  <c r="AW77" i="4"/>
  <c r="AS77" i="4"/>
  <c r="R77" i="4" s="1"/>
  <c r="AS118" i="4"/>
  <c r="R118" i="4" s="1"/>
  <c r="AW44" i="4"/>
  <c r="AS44" i="4"/>
  <c r="R44" i="4" s="1"/>
  <c r="AS79" i="4"/>
  <c r="R79" i="4" s="1"/>
  <c r="AW17" i="4"/>
  <c r="AS17" i="4"/>
  <c r="R17" i="4" s="1"/>
  <c r="AS25" i="4"/>
  <c r="R25" i="4" s="1"/>
  <c r="AW27" i="4"/>
  <c r="AS27" i="4"/>
  <c r="R27" i="4" s="1"/>
  <c r="AW29" i="4"/>
  <c r="AS29" i="4"/>
  <c r="R29" i="4" s="1"/>
  <c r="AW46" i="4"/>
  <c r="AS46" i="4"/>
  <c r="R46" i="4" s="1"/>
  <c r="AW54" i="4"/>
  <c r="AS54" i="4"/>
  <c r="R54" i="4" s="1"/>
  <c r="AS64" i="4"/>
  <c r="R64" i="4" s="1"/>
  <c r="AW66" i="4"/>
  <c r="AS66" i="4"/>
  <c r="R66" i="4" s="1"/>
  <c r="AW68" i="4"/>
  <c r="AS68" i="4"/>
  <c r="R68" i="4" s="1"/>
  <c r="AS105" i="4"/>
  <c r="R105" i="4" s="1"/>
  <c r="AS113" i="4"/>
  <c r="R113" i="4" s="1"/>
  <c r="AW116" i="4"/>
  <c r="AS116" i="4"/>
  <c r="R116" i="4" s="1"/>
  <c r="AW106" i="4"/>
  <c r="AS106" i="4"/>
  <c r="R106" i="4" s="1"/>
  <c r="AW6" i="4"/>
  <c r="AW10" i="4"/>
  <c r="AW12" i="4"/>
  <c r="AW23" i="4"/>
  <c r="AW33" i="4"/>
  <c r="AW35" i="4"/>
  <c r="AW62" i="4"/>
  <c r="AS62" i="4"/>
  <c r="R62" i="4" s="1"/>
  <c r="AW85" i="4"/>
  <c r="AS85" i="4"/>
  <c r="R85" i="4" s="1"/>
  <c r="AW91" i="4"/>
  <c r="AS91" i="4"/>
  <c r="R91" i="4" s="1"/>
  <c r="AW93" i="4"/>
  <c r="AS93" i="4"/>
  <c r="R93" i="4" s="1"/>
  <c r="AW95" i="4"/>
  <c r="AW97" i="4"/>
  <c r="AW99" i="4"/>
  <c r="AS99" i="4"/>
  <c r="R99" i="4" s="1"/>
  <c r="AW105" i="4"/>
  <c r="AW113" i="4"/>
  <c r="AS40" i="4"/>
  <c r="R40" i="4" s="1"/>
  <c r="AW108" i="4"/>
  <c r="AS108" i="4"/>
  <c r="R108" i="4" s="1"/>
  <c r="AS72" i="4"/>
  <c r="R72" i="4" s="1"/>
  <c r="AW74" i="4"/>
  <c r="AS74" i="4"/>
  <c r="R74" i="4" s="1"/>
  <c r="AW87" i="4"/>
  <c r="AW89" i="4"/>
  <c r="AW101" i="4"/>
  <c r="AS101" i="4"/>
  <c r="R101" i="4" s="1"/>
  <c r="AW107" i="4"/>
  <c r="AS107" i="4"/>
  <c r="R107" i="4" s="1"/>
  <c r="AW109" i="4"/>
  <c r="AS109" i="4"/>
  <c r="R109" i="4" s="1"/>
  <c r="AS119" i="4"/>
  <c r="R119" i="4" s="1"/>
  <c r="AW2" i="4"/>
  <c r="AW32" i="4"/>
  <c r="AW40" i="4"/>
  <c r="AW110" i="4"/>
  <c r="AW18" i="4"/>
  <c r="AW48" i="4"/>
  <c r="AW79" i="4"/>
  <c r="AW94" i="4"/>
  <c r="AW102" i="4"/>
  <c r="AW118" i="4"/>
  <c r="AW56" i="4"/>
  <c r="AW64" i="4"/>
  <c r="AW72" i="4"/>
  <c r="AW4" i="4"/>
  <c r="AW25" i="4"/>
  <c r="T119" i="4" l="1"/>
  <c r="X119" i="4" s="1"/>
  <c r="V119" i="4"/>
  <c r="T105" i="4"/>
  <c r="X105" i="4" s="1"/>
  <c r="V105" i="4"/>
  <c r="T46" i="4"/>
  <c r="X46" i="4" s="1"/>
  <c r="V46" i="4"/>
  <c r="T52" i="4"/>
  <c r="X52" i="4" s="1"/>
  <c r="V52" i="4"/>
  <c r="T104" i="4"/>
  <c r="X104" i="4" s="1"/>
  <c r="V104" i="4"/>
  <c r="T55" i="4"/>
  <c r="X55" i="4" s="1"/>
  <c r="V55" i="4"/>
  <c r="T32" i="4"/>
  <c r="X32" i="4" s="1"/>
  <c r="V32" i="4"/>
  <c r="T74" i="4"/>
  <c r="X74" i="4" s="1"/>
  <c r="V74" i="4"/>
  <c r="T99" i="4"/>
  <c r="X99" i="4" s="1"/>
  <c r="V99" i="4"/>
  <c r="V85" i="4"/>
  <c r="T85" i="4"/>
  <c r="X85" i="4" s="1"/>
  <c r="T68" i="4"/>
  <c r="X68" i="4" s="1"/>
  <c r="V68" i="4"/>
  <c r="T79" i="4"/>
  <c r="X79" i="4" s="1"/>
  <c r="V79" i="4"/>
  <c r="T71" i="4"/>
  <c r="X71" i="4" s="1"/>
  <c r="V71" i="4"/>
  <c r="T120" i="4"/>
  <c r="X120" i="4" s="1"/>
  <c r="V120" i="4"/>
  <c r="T63" i="4"/>
  <c r="X63" i="4" s="1"/>
  <c r="V63" i="4"/>
  <c r="V117" i="4"/>
  <c r="T117" i="4"/>
  <c r="X117" i="4" s="1"/>
  <c r="V13" i="4"/>
  <c r="T13" i="4"/>
  <c r="X13" i="4" s="1"/>
  <c r="T39" i="4"/>
  <c r="X39" i="4" s="1"/>
  <c r="V39" i="4"/>
  <c r="T3" i="4"/>
  <c r="X3" i="4" s="1"/>
  <c r="V3" i="4"/>
  <c r="V109" i="4"/>
  <c r="T109" i="4"/>
  <c r="X109" i="4" s="1"/>
  <c r="V29" i="4"/>
  <c r="T29" i="4"/>
  <c r="X29" i="4" s="1"/>
  <c r="T44" i="4"/>
  <c r="X44" i="4" s="1"/>
  <c r="V44" i="4"/>
  <c r="T50" i="4"/>
  <c r="X50" i="4" s="1"/>
  <c r="V50" i="4"/>
  <c r="T102" i="4"/>
  <c r="X102" i="4" s="1"/>
  <c r="V102" i="4"/>
  <c r="T47" i="4"/>
  <c r="X47" i="4" s="1"/>
  <c r="V47" i="4"/>
  <c r="T78" i="4"/>
  <c r="X78" i="4" s="1"/>
  <c r="V78" i="4"/>
  <c r="T107" i="4"/>
  <c r="X107" i="4" s="1"/>
  <c r="V107" i="4"/>
  <c r="T72" i="4"/>
  <c r="X72" i="4" s="1"/>
  <c r="V72" i="4"/>
  <c r="T62" i="4"/>
  <c r="X62" i="4" s="1"/>
  <c r="V62" i="4"/>
  <c r="T106" i="4"/>
  <c r="X106" i="4" s="1"/>
  <c r="V106" i="4"/>
  <c r="T66" i="4"/>
  <c r="X66" i="4" s="1"/>
  <c r="V66" i="4"/>
  <c r="T60" i="4"/>
  <c r="X60" i="4" s="1"/>
  <c r="V60" i="4"/>
  <c r="T100" i="4"/>
  <c r="X100" i="4" s="1"/>
  <c r="V100" i="4"/>
  <c r="T92" i="4"/>
  <c r="X92" i="4" s="1"/>
  <c r="V92" i="4"/>
  <c r="T98" i="4"/>
  <c r="X98" i="4" s="1"/>
  <c r="V98" i="4"/>
  <c r="T11" i="4"/>
  <c r="X11" i="4" s="1"/>
  <c r="V11" i="4"/>
  <c r="T30" i="4"/>
  <c r="X30" i="4" s="1"/>
  <c r="V30" i="4"/>
  <c r="T83" i="4"/>
  <c r="X83" i="4" s="1"/>
  <c r="V83" i="4"/>
  <c r="T108" i="4"/>
  <c r="X108" i="4" s="1"/>
  <c r="V108" i="4"/>
  <c r="T27" i="4"/>
  <c r="X27" i="4" s="1"/>
  <c r="V27" i="4"/>
  <c r="T118" i="4"/>
  <c r="X118" i="4" s="1"/>
  <c r="V118" i="4"/>
  <c r="T48" i="4"/>
  <c r="X48" i="4" s="1"/>
  <c r="V48" i="4"/>
  <c r="T36" i="4"/>
  <c r="X36" i="4" s="1"/>
  <c r="V36" i="4"/>
  <c r="T70" i="4"/>
  <c r="X70" i="4" s="1"/>
  <c r="V70" i="4"/>
  <c r="T20" i="4"/>
  <c r="X20" i="4" s="1"/>
  <c r="V20" i="4"/>
  <c r="V101" i="4"/>
  <c r="T101" i="4"/>
  <c r="X101" i="4" s="1"/>
  <c r="T116" i="4"/>
  <c r="X116" i="4" s="1"/>
  <c r="V116" i="4"/>
  <c r="T58" i="4"/>
  <c r="X58" i="4" s="1"/>
  <c r="V58" i="4"/>
  <c r="T112" i="4"/>
  <c r="X112" i="4" s="1"/>
  <c r="V112" i="4"/>
  <c r="T24" i="4"/>
  <c r="X24" i="4" s="1"/>
  <c r="V24" i="4"/>
  <c r="T81" i="4"/>
  <c r="X81" i="4" s="1"/>
  <c r="V81" i="4"/>
  <c r="T40" i="4"/>
  <c r="X40" i="4" s="1"/>
  <c r="V40" i="4"/>
  <c r="T54" i="4"/>
  <c r="X54" i="4" s="1"/>
  <c r="V54" i="4"/>
  <c r="T25" i="4"/>
  <c r="X25" i="4" s="1"/>
  <c r="V25" i="4"/>
  <c r="T34" i="4"/>
  <c r="X34" i="4" s="1"/>
  <c r="V34" i="4"/>
  <c r="T18" i="4"/>
  <c r="X18" i="4" s="1"/>
  <c r="V18" i="4"/>
  <c r="V93" i="4"/>
  <c r="T93" i="4"/>
  <c r="X93" i="4" s="1"/>
  <c r="T64" i="4"/>
  <c r="X64" i="4" s="1"/>
  <c r="V64" i="4"/>
  <c r="V77" i="4"/>
  <c r="T77" i="4"/>
  <c r="X77" i="4" s="1"/>
  <c r="T38" i="4"/>
  <c r="X38" i="4" s="1"/>
  <c r="V38" i="4"/>
  <c r="T90" i="4"/>
  <c r="X90" i="4" s="1"/>
  <c r="V90" i="4"/>
  <c r="T96" i="4"/>
  <c r="X96" i="4" s="1"/>
  <c r="V96" i="4"/>
  <c r="T42" i="4"/>
  <c r="X42" i="4" s="1"/>
  <c r="V42" i="4"/>
  <c r="T91" i="4"/>
  <c r="X91" i="4" s="1"/>
  <c r="V91" i="4"/>
  <c r="T113" i="4"/>
  <c r="X113" i="4" s="1"/>
  <c r="V113" i="4"/>
  <c r="T17" i="4"/>
  <c r="X17" i="4" s="1"/>
  <c r="V17" i="4"/>
  <c r="T56" i="4"/>
  <c r="X56" i="4" s="1"/>
  <c r="V56" i="4"/>
  <c r="T14" i="4"/>
  <c r="X14" i="4" s="1"/>
  <c r="V14" i="4"/>
  <c r="T110" i="4"/>
  <c r="X110" i="4" s="1"/>
  <c r="V110" i="4"/>
  <c r="T88" i="4"/>
  <c r="X88" i="4" s="1"/>
  <c r="V88" i="4"/>
  <c r="T94" i="4"/>
  <c r="X94" i="4" s="1"/>
  <c r="V94" i="4"/>
  <c r="T4" i="4"/>
  <c r="X4" i="4" s="1"/>
  <c r="V4" i="4"/>
  <c r="AE301" i="2"/>
  <c r="T301" i="2"/>
  <c r="R301" i="2" s="1"/>
  <c r="L301" i="2"/>
  <c r="AE300" i="2"/>
  <c r="T300" i="2"/>
  <c r="R300" i="2" s="1"/>
  <c r="L300" i="2"/>
  <c r="AE299" i="2"/>
  <c r="T299" i="2"/>
  <c r="R299" i="2" s="1"/>
  <c r="L299" i="2"/>
  <c r="AE298" i="2"/>
  <c r="L298" i="2"/>
  <c r="AX297" i="2"/>
  <c r="AI297" i="2"/>
  <c r="AJ297" i="2" s="1"/>
  <c r="AM297" i="2" s="1"/>
  <c r="AJ296" i="2"/>
  <c r="AX296" i="2" s="1"/>
  <c r="AX295" i="2"/>
  <c r="AU295" i="2"/>
  <c r="AS295" i="2" s="1"/>
  <c r="AI295" i="2"/>
  <c r="L295" i="2"/>
  <c r="AS294" i="2"/>
  <c r="AI294" i="2"/>
  <c r="L294" i="2"/>
  <c r="L293" i="2"/>
  <c r="L292" i="2"/>
  <c r="L291" i="2"/>
  <c r="L290" i="2"/>
  <c r="L289" i="2"/>
  <c r="L288" i="2"/>
  <c r="L287" i="2"/>
  <c r="L286" i="2"/>
  <c r="L285" i="2"/>
  <c r="AJ284" i="2"/>
  <c r="AM284" i="2" s="1"/>
  <c r="AE284" i="2"/>
  <c r="L284" i="2"/>
  <c r="AE283" i="2"/>
  <c r="AG283" i="2" s="1"/>
  <c r="J283" i="2"/>
  <c r="AX282" i="2"/>
  <c r="AJ282" i="2"/>
  <c r="AM282" i="2" s="1"/>
  <c r="AN282" i="2" s="1"/>
  <c r="V282" i="2"/>
  <c r="J282" i="2"/>
  <c r="L281" i="2"/>
  <c r="J281" i="2" s="1"/>
  <c r="AM280" i="2"/>
  <c r="AX280" i="2" s="1"/>
  <c r="AG280" i="2"/>
  <c r="L280" i="2"/>
  <c r="AI280" i="2" s="1"/>
  <c r="AX279" i="2"/>
  <c r="L279" i="2"/>
  <c r="AJ279" i="2" s="1"/>
  <c r="AM279" i="2" s="1"/>
  <c r="AN279" i="2" s="1"/>
  <c r="AX278" i="2"/>
  <c r="L278" i="2"/>
  <c r="AJ278" i="2" s="1"/>
  <c r="AM278" i="2" s="1"/>
  <c r="AN278" i="2" s="1"/>
  <c r="AX277" i="2"/>
  <c r="L277" i="2"/>
  <c r="AJ277" i="2" s="1"/>
  <c r="AM277" i="2" s="1"/>
  <c r="AN277" i="2" s="1"/>
  <c r="AX276" i="2"/>
  <c r="L276" i="2"/>
  <c r="AJ276" i="2" s="1"/>
  <c r="AM276" i="2" s="1"/>
  <c r="AN276" i="2" s="1"/>
  <c r="AX275" i="2"/>
  <c r="L275" i="2"/>
  <c r="AJ275" i="2" s="1"/>
  <c r="AM275" i="2" s="1"/>
  <c r="AN275" i="2" s="1"/>
  <c r="AX274" i="2"/>
  <c r="L274" i="2"/>
  <c r="AJ274" i="2" s="1"/>
  <c r="AM274" i="2" s="1"/>
  <c r="AN274" i="2" s="1"/>
  <c r="AJ273" i="2"/>
  <c r="AM273" i="2" s="1"/>
  <c r="AG273" i="2"/>
  <c r="AJ272" i="2"/>
  <c r="AM272" i="2" s="1"/>
  <c r="AG272" i="2"/>
  <c r="AJ271" i="2"/>
  <c r="AM271" i="2" s="1"/>
  <c r="AG271" i="2"/>
  <c r="AJ270" i="2"/>
  <c r="AM270" i="2" s="1"/>
  <c r="AC270" i="2" s="1"/>
  <c r="AG270" i="2"/>
  <c r="R270" i="2"/>
  <c r="AX269" i="2"/>
  <c r="R269" i="2"/>
  <c r="L269" i="2"/>
  <c r="AJ269" i="2" s="1"/>
  <c r="AM269" i="2" s="1"/>
  <c r="AX268" i="2"/>
  <c r="R268" i="2"/>
  <c r="L268" i="2"/>
  <c r="AJ268" i="2" s="1"/>
  <c r="AM268" i="2" s="1"/>
  <c r="AN268" i="2" s="1"/>
  <c r="AS267" i="2"/>
  <c r="AM267" i="2"/>
  <c r="AC267" i="2" s="1"/>
  <c r="J267" i="2"/>
  <c r="AS266" i="2"/>
  <c r="AM266" i="2"/>
  <c r="J266" i="2"/>
  <c r="AJ265" i="2"/>
  <c r="R265" i="2"/>
  <c r="L265" i="2"/>
  <c r="AG265" i="2" s="1"/>
  <c r="AJ264" i="2"/>
  <c r="AM264" i="2" s="1"/>
  <c r="R264" i="2"/>
  <c r="L264" i="2"/>
  <c r="AJ263" i="2"/>
  <c r="AM263" i="2" s="1"/>
  <c r="R263" i="2"/>
  <c r="L263" i="2"/>
  <c r="AG263" i="2" s="1"/>
  <c r="AJ262" i="2"/>
  <c r="AM262" i="2" s="1"/>
  <c r="R262" i="2"/>
  <c r="L262" i="2"/>
  <c r="AJ261" i="2"/>
  <c r="AM261" i="2" s="1"/>
  <c r="R261" i="2"/>
  <c r="L261" i="2"/>
  <c r="AG261" i="2" s="1"/>
  <c r="AJ260" i="2"/>
  <c r="AM260" i="2" s="1"/>
  <c r="R260" i="2"/>
  <c r="L260" i="2"/>
  <c r="AJ259" i="2"/>
  <c r="R259" i="2"/>
  <c r="L259" i="2"/>
  <c r="AG259" i="2" s="1"/>
  <c r="AJ258" i="2"/>
  <c r="AM258" i="2" s="1"/>
  <c r="R258" i="2"/>
  <c r="L258" i="2"/>
  <c r="AJ257" i="2"/>
  <c r="R257" i="2"/>
  <c r="L257" i="2"/>
  <c r="AG257" i="2" s="1"/>
  <c r="AJ256" i="2"/>
  <c r="AM256" i="2" s="1"/>
  <c r="R256" i="2"/>
  <c r="L256" i="2"/>
  <c r="AJ255" i="2"/>
  <c r="R255" i="2"/>
  <c r="L255" i="2"/>
  <c r="AG255" i="2" s="1"/>
  <c r="AJ254" i="2"/>
  <c r="AM254" i="2" s="1"/>
  <c r="R254" i="2"/>
  <c r="L254" i="2"/>
  <c r="AJ253" i="2"/>
  <c r="R253" i="2"/>
  <c r="L253" i="2"/>
  <c r="AG253" i="2" s="1"/>
  <c r="AJ252" i="2"/>
  <c r="AM252" i="2" s="1"/>
  <c r="R252" i="2"/>
  <c r="L252" i="2"/>
  <c r="AJ251" i="2"/>
  <c r="R251" i="2"/>
  <c r="L251" i="2"/>
  <c r="AG251" i="2" s="1"/>
  <c r="AJ250" i="2"/>
  <c r="AM250" i="2" s="1"/>
  <c r="R250" i="2"/>
  <c r="L250" i="2"/>
  <c r="AJ249" i="2"/>
  <c r="AM249" i="2" s="1"/>
  <c r="R249" i="2"/>
  <c r="L249" i="2"/>
  <c r="AG249" i="2" s="1"/>
  <c r="AJ248" i="2"/>
  <c r="AM248" i="2" s="1"/>
  <c r="R248" i="2"/>
  <c r="L248" i="2"/>
  <c r="AJ247" i="2"/>
  <c r="AM247" i="2" s="1"/>
  <c r="R247" i="2"/>
  <c r="L247" i="2"/>
  <c r="AG247" i="2" s="1"/>
  <c r="AJ246" i="2"/>
  <c r="AM246" i="2" s="1"/>
  <c r="R246" i="2"/>
  <c r="L246" i="2"/>
  <c r="AJ245" i="2"/>
  <c r="AM245" i="2" s="1"/>
  <c r="R245" i="2"/>
  <c r="L245" i="2"/>
  <c r="AG245" i="2" s="1"/>
  <c r="AJ244" i="2"/>
  <c r="AM244" i="2" s="1"/>
  <c r="R244" i="2"/>
  <c r="L244" i="2"/>
  <c r="AJ243" i="2"/>
  <c r="R243" i="2"/>
  <c r="L243" i="2"/>
  <c r="AG243" i="2" s="1"/>
  <c r="AJ242" i="2"/>
  <c r="AM242" i="2" s="1"/>
  <c r="R242" i="2"/>
  <c r="L242" i="2"/>
  <c r="AJ241" i="2"/>
  <c r="AM241" i="2" s="1"/>
  <c r="R241" i="2"/>
  <c r="L241" i="2"/>
  <c r="AG241" i="2" s="1"/>
  <c r="AJ240" i="2"/>
  <c r="AM240" i="2" s="1"/>
  <c r="R240" i="2"/>
  <c r="L240" i="2"/>
  <c r="AJ239" i="2"/>
  <c r="AM239" i="2" s="1"/>
  <c r="R239" i="2"/>
  <c r="L239" i="2"/>
  <c r="AG239" i="2" s="1"/>
  <c r="AJ238" i="2"/>
  <c r="AM238" i="2" s="1"/>
  <c r="R238" i="2"/>
  <c r="L238" i="2"/>
  <c r="AJ237" i="2"/>
  <c r="R237" i="2"/>
  <c r="L237" i="2"/>
  <c r="AG237" i="2" s="1"/>
  <c r="AJ236" i="2"/>
  <c r="AM236" i="2" s="1"/>
  <c r="R236" i="2"/>
  <c r="L236" i="2"/>
  <c r="AJ235" i="2"/>
  <c r="AM235" i="2" s="1"/>
  <c r="AX235" i="2" s="1"/>
  <c r="R235" i="2"/>
  <c r="AA235" i="2" s="1"/>
  <c r="L235" i="2"/>
  <c r="AJ234" i="2"/>
  <c r="AM234" i="2" s="1"/>
  <c r="R234" i="2"/>
  <c r="L234" i="2"/>
  <c r="AJ233" i="2"/>
  <c r="R233" i="2"/>
  <c r="L233" i="2"/>
  <c r="AG233" i="2" s="1"/>
  <c r="AJ232" i="2"/>
  <c r="AM232" i="2" s="1"/>
  <c r="R232" i="2"/>
  <c r="L232" i="2"/>
  <c r="AG232" i="2" s="1"/>
  <c r="AJ231" i="2"/>
  <c r="R231" i="2"/>
  <c r="AA231" i="2" s="1"/>
  <c r="L231" i="2"/>
  <c r="AG231" i="2" s="1"/>
  <c r="AJ230" i="2"/>
  <c r="R230" i="2"/>
  <c r="AA230" i="2" s="1"/>
  <c r="L230" i="2"/>
  <c r="J230" i="2" s="1"/>
  <c r="AJ229" i="2"/>
  <c r="AI229" i="2" s="1"/>
  <c r="AE229" i="2"/>
  <c r="AG229" i="2" s="1"/>
  <c r="R229" i="2"/>
  <c r="AA229" i="2" s="1"/>
  <c r="AJ228" i="2"/>
  <c r="AM228" i="2" s="1"/>
  <c r="AN228" i="2" s="1"/>
  <c r="AE228" i="2"/>
  <c r="AG228" i="2" s="1"/>
  <c r="R228" i="2"/>
  <c r="V228" i="2" s="1"/>
  <c r="X228" i="2" s="1"/>
  <c r="AX227" i="2"/>
  <c r="AJ227" i="2"/>
  <c r="AM227" i="2" s="1"/>
  <c r="AN227" i="2" s="1"/>
  <c r="R227" i="2"/>
  <c r="AY226" i="2"/>
  <c r="AT226" i="2"/>
  <c r="AS226" i="2"/>
  <c r="AI226" i="2"/>
  <c r="L226" i="2"/>
  <c r="AY225" i="2"/>
  <c r="AX225" i="2"/>
  <c r="AT225" i="2"/>
  <c r="AS225" i="2"/>
  <c r="AI225" i="2"/>
  <c r="L225" i="2"/>
  <c r="AY224" i="2"/>
  <c r="AX224" i="2"/>
  <c r="AJ224" i="2"/>
  <c r="AM224" i="2" s="1"/>
  <c r="T224" i="2"/>
  <c r="L224" i="2"/>
  <c r="R223" i="2"/>
  <c r="L223" i="2"/>
  <c r="AJ223" i="2" s="1"/>
  <c r="AM223" i="2" s="1"/>
  <c r="R222" i="2"/>
  <c r="L222" i="2"/>
  <c r="AJ222" i="2" s="1"/>
  <c r="AM222" i="2" s="1"/>
  <c r="AE222" i="2" s="1"/>
  <c r="AG222" i="2" s="1"/>
  <c r="R221" i="2"/>
  <c r="L221" i="2"/>
  <c r="AJ221" i="2" s="1"/>
  <c r="AM221" i="2" s="1"/>
  <c r="AE221" i="2" s="1"/>
  <c r="AG221" i="2" s="1"/>
  <c r="R220" i="2"/>
  <c r="L220" i="2"/>
  <c r="AJ220" i="2" s="1"/>
  <c r="AM220" i="2" s="1"/>
  <c r="AI219" i="2"/>
  <c r="R219" i="2"/>
  <c r="L219" i="2"/>
  <c r="AE218" i="2"/>
  <c r="R218" i="2"/>
  <c r="L218" i="2"/>
  <c r="AE217" i="2"/>
  <c r="R217" i="2"/>
  <c r="L217" i="2"/>
  <c r="AM216" i="2"/>
  <c r="AC216" i="2" s="1"/>
  <c r="AE216" i="2"/>
  <c r="R216" i="2"/>
  <c r="L216" i="2"/>
  <c r="AX215" i="2"/>
  <c r="AI215" i="2"/>
  <c r="R215" i="2"/>
  <c r="L215" i="2"/>
  <c r="AX214" i="2"/>
  <c r="AJ214" i="2"/>
  <c r="AM214" i="2" s="1"/>
  <c r="R214" i="2"/>
  <c r="L214" i="2"/>
  <c r="AX213" i="2"/>
  <c r="AJ213" i="2"/>
  <c r="R213" i="2"/>
  <c r="L213" i="2"/>
  <c r="AY212" i="2"/>
  <c r="AX212" i="2"/>
  <c r="AC212" i="2"/>
  <c r="AN212" i="2"/>
  <c r="R212" i="2"/>
  <c r="AS212" i="2" s="1"/>
  <c r="AY211" i="2"/>
  <c r="AX211" i="2"/>
  <c r="AC211" i="2"/>
  <c r="AN211" i="2"/>
  <c r="R211" i="2"/>
  <c r="AS211" i="2" s="1"/>
  <c r="AY210" i="2"/>
  <c r="AX210" i="2"/>
  <c r="AC210" i="2"/>
  <c r="AN210" i="2"/>
  <c r="R210" i="2"/>
  <c r="AS210" i="2" s="1"/>
  <c r="AU209" i="2"/>
  <c r="AI209" i="2"/>
  <c r="L209" i="2"/>
  <c r="AU208" i="2"/>
  <c r="AI208" i="2"/>
  <c r="L208" i="2"/>
  <c r="AU207" i="2"/>
  <c r="AI207" i="2"/>
  <c r="L207" i="2"/>
  <c r="AU206" i="2"/>
  <c r="AI206" i="2"/>
  <c r="L206" i="2"/>
  <c r="AJ205" i="2"/>
  <c r="AM205" i="2" s="1"/>
  <c r="AC205" i="2" s="1"/>
  <c r="L205" i="2"/>
  <c r="AG205" i="2" s="1"/>
  <c r="AJ204" i="2"/>
  <c r="AM204" i="2" s="1"/>
  <c r="AC204" i="2" s="1"/>
  <c r="L204" i="2"/>
  <c r="AG204" i="2" s="1"/>
  <c r="AJ203" i="2"/>
  <c r="AM203" i="2" s="1"/>
  <c r="AS203" i="2" s="1"/>
  <c r="L203" i="2"/>
  <c r="AG203" i="2" s="1"/>
  <c r="AJ202" i="2"/>
  <c r="AM202" i="2" s="1"/>
  <c r="AS202" i="2" s="1"/>
  <c r="L202" i="2"/>
  <c r="AG202" i="2" s="1"/>
  <c r="AJ201" i="2"/>
  <c r="L201" i="2"/>
  <c r="AG201" i="2" s="1"/>
  <c r="AJ200" i="2"/>
  <c r="AM200" i="2" s="1"/>
  <c r="AF200" i="2"/>
  <c r="L200" i="2"/>
  <c r="AX199" i="2"/>
  <c r="AJ199" i="2"/>
  <c r="L199" i="2"/>
  <c r="AI198" i="2"/>
  <c r="AE198" i="2"/>
  <c r="L198" i="2"/>
  <c r="AI197" i="2"/>
  <c r="AE197" i="2"/>
  <c r="L197" i="2"/>
  <c r="AJ196" i="2"/>
  <c r="AM196" i="2" s="1"/>
  <c r="L196" i="2"/>
  <c r="AG196" i="2" s="1"/>
  <c r="AJ195" i="2"/>
  <c r="AE195" i="2"/>
  <c r="L195" i="2"/>
  <c r="AJ194" i="2"/>
  <c r="AE194" i="2"/>
  <c r="L194" i="2"/>
  <c r="AJ193" i="2"/>
  <c r="L193" i="2"/>
  <c r="AG193" i="2" s="1"/>
  <c r="AX192" i="2"/>
  <c r="AC192" i="2"/>
  <c r="AS192" i="2"/>
  <c r="AN192" i="2"/>
  <c r="AC191" i="2"/>
  <c r="AS191" i="2"/>
  <c r="AG191" i="2"/>
  <c r="V191" i="2"/>
  <c r="AC190" i="2"/>
  <c r="AS190" i="2"/>
  <c r="AG190" i="2"/>
  <c r="V190" i="2"/>
  <c r="AC189" i="2"/>
  <c r="AS189" i="2"/>
  <c r="AG189" i="2"/>
  <c r="V189" i="2"/>
  <c r="AU188" i="2"/>
  <c r="AC188" i="2" s="1"/>
  <c r="AS188" i="2"/>
  <c r="AG188" i="2"/>
  <c r="V188" i="2"/>
  <c r="AM187" i="2"/>
  <c r="AS187" i="2" s="1"/>
  <c r="L187" i="2"/>
  <c r="AM186" i="2"/>
  <c r="L186" i="2"/>
  <c r="AI186" i="2" s="1"/>
  <c r="AM185" i="2"/>
  <c r="AX185" i="2" s="1"/>
  <c r="L185" i="2"/>
  <c r="AJ184" i="2"/>
  <c r="AM184" i="2" s="1"/>
  <c r="J184" i="2"/>
  <c r="AU183" i="2"/>
  <c r="AC183" i="2" s="1"/>
  <c r="AS183" i="2"/>
  <c r="AU182" i="2"/>
  <c r="AC182" i="2" s="1"/>
  <c r="AS182" i="2"/>
  <c r="AJ181" i="2"/>
  <c r="AM181" i="2" s="1"/>
  <c r="AE181" i="2"/>
  <c r="R181" i="2"/>
  <c r="L181" i="2"/>
  <c r="AJ180" i="2"/>
  <c r="AM180" i="2" s="1"/>
  <c r="AE180" i="2"/>
  <c r="R180" i="2"/>
  <c r="L180" i="2"/>
  <c r="AJ179" i="2"/>
  <c r="AE179" i="2"/>
  <c r="R179" i="2"/>
  <c r="L179" i="2"/>
  <c r="AJ178" i="2"/>
  <c r="AM178" i="2" s="1"/>
  <c r="AE178" i="2"/>
  <c r="R178" i="2"/>
  <c r="AA178" i="2" s="1"/>
  <c r="L178" i="2"/>
  <c r="AF177" i="2"/>
  <c r="AE177" i="2"/>
  <c r="AM177" i="2" s="1"/>
  <c r="L177" i="2"/>
  <c r="AF176" i="2"/>
  <c r="AE176" i="2"/>
  <c r="AM176" i="2" s="1"/>
  <c r="AJ176" i="2" s="1"/>
  <c r="L176" i="2"/>
  <c r="AF175" i="2"/>
  <c r="AE175" i="2"/>
  <c r="AM175" i="2" s="1"/>
  <c r="L175" i="2"/>
  <c r="AF174" i="2"/>
  <c r="AE174" i="2"/>
  <c r="AM174" i="2" s="1"/>
  <c r="AJ174" i="2" s="1"/>
  <c r="L174" i="2"/>
  <c r="AX173" i="2"/>
  <c r="AF173" i="2"/>
  <c r="AE173" i="2"/>
  <c r="L173" i="2"/>
  <c r="AS172" i="2"/>
  <c r="AA172" i="2"/>
  <c r="T172" i="2"/>
  <c r="L172" i="2"/>
  <c r="V172" i="2" s="1"/>
  <c r="X172" i="2" s="1"/>
  <c r="AS171" i="2"/>
  <c r="AA171" i="2"/>
  <c r="T171" i="2"/>
  <c r="L171" i="2"/>
  <c r="V171" i="2" s="1"/>
  <c r="X171" i="2" s="1"/>
  <c r="AS170" i="2"/>
  <c r="AA170" i="2"/>
  <c r="T170" i="2"/>
  <c r="L170" i="2"/>
  <c r="V170" i="2" s="1"/>
  <c r="X170" i="2" s="1"/>
  <c r="AS169" i="2"/>
  <c r="AA169" i="2"/>
  <c r="T169" i="2"/>
  <c r="L169" i="2"/>
  <c r="V169" i="2" s="1"/>
  <c r="X169" i="2" s="1"/>
  <c r="AS168" i="2"/>
  <c r="AA168" i="2"/>
  <c r="T168" i="2"/>
  <c r="L168" i="2"/>
  <c r="V168" i="2" s="1"/>
  <c r="X168" i="2" s="1"/>
  <c r="AS167" i="2"/>
  <c r="AA167" i="2"/>
  <c r="T167" i="2"/>
  <c r="L167" i="2"/>
  <c r="V167" i="2" s="1"/>
  <c r="X167" i="2" s="1"/>
  <c r="AS166" i="2"/>
  <c r="AA166" i="2"/>
  <c r="T166" i="2"/>
  <c r="L166" i="2"/>
  <c r="V166" i="2" s="1"/>
  <c r="X166" i="2" s="1"/>
  <c r="AS165" i="2"/>
  <c r="AA165" i="2"/>
  <c r="T165" i="2"/>
  <c r="L165" i="2"/>
  <c r="V165" i="2" s="1"/>
  <c r="X165" i="2" s="1"/>
  <c r="AS164" i="2"/>
  <c r="AA164" i="2"/>
  <c r="T164" i="2"/>
  <c r="L164" i="2"/>
  <c r="V164" i="2" s="1"/>
  <c r="X164" i="2" s="1"/>
  <c r="AS163" i="2"/>
  <c r="AA163" i="2"/>
  <c r="T163" i="2"/>
  <c r="L163" i="2"/>
  <c r="V163" i="2" s="1"/>
  <c r="X163" i="2" s="1"/>
  <c r="AS162" i="2"/>
  <c r="AA162" i="2"/>
  <c r="T162" i="2"/>
  <c r="L162" i="2"/>
  <c r="V162" i="2" s="1"/>
  <c r="X162" i="2" s="1"/>
  <c r="AS161" i="2"/>
  <c r="AA161" i="2"/>
  <c r="T161" i="2"/>
  <c r="L161" i="2"/>
  <c r="V161" i="2" s="1"/>
  <c r="X161" i="2" s="1"/>
  <c r="AS160" i="2"/>
  <c r="AA160" i="2"/>
  <c r="T160" i="2"/>
  <c r="L160" i="2"/>
  <c r="V160" i="2" s="1"/>
  <c r="X160" i="2" s="1"/>
  <c r="AS159" i="2"/>
  <c r="AA159" i="2"/>
  <c r="T159" i="2"/>
  <c r="L159" i="2"/>
  <c r="V159" i="2" s="1"/>
  <c r="X159" i="2" s="1"/>
  <c r="AS158" i="2"/>
  <c r="AA158" i="2"/>
  <c r="T158" i="2"/>
  <c r="L158" i="2"/>
  <c r="V158" i="2" s="1"/>
  <c r="X158" i="2" s="1"/>
  <c r="AS157" i="2"/>
  <c r="AA157" i="2"/>
  <c r="T157" i="2"/>
  <c r="L157" i="2"/>
  <c r="V157" i="2" s="1"/>
  <c r="X157" i="2" s="1"/>
  <c r="AS156" i="2"/>
  <c r="AA156" i="2"/>
  <c r="T156" i="2"/>
  <c r="L156" i="2"/>
  <c r="V156" i="2" s="1"/>
  <c r="X156" i="2" s="1"/>
  <c r="AS155" i="2"/>
  <c r="AA155" i="2"/>
  <c r="T155" i="2"/>
  <c r="L155" i="2"/>
  <c r="V155" i="2" s="1"/>
  <c r="X155" i="2" s="1"/>
  <c r="AS154" i="2"/>
  <c r="AA154" i="2"/>
  <c r="T154" i="2"/>
  <c r="L154" i="2"/>
  <c r="V154" i="2" s="1"/>
  <c r="X154" i="2" s="1"/>
  <c r="AS153" i="2"/>
  <c r="AA153" i="2"/>
  <c r="T153" i="2"/>
  <c r="L153" i="2"/>
  <c r="V153" i="2" s="1"/>
  <c r="X153" i="2" s="1"/>
  <c r="AS152" i="2"/>
  <c r="AA152" i="2"/>
  <c r="T152" i="2"/>
  <c r="L152" i="2"/>
  <c r="V152" i="2" s="1"/>
  <c r="X152" i="2" s="1"/>
  <c r="AS151" i="2"/>
  <c r="AA151" i="2"/>
  <c r="T151" i="2"/>
  <c r="L151" i="2"/>
  <c r="V151" i="2" s="1"/>
  <c r="X151" i="2" s="1"/>
  <c r="AS150" i="2"/>
  <c r="AA150" i="2"/>
  <c r="T150" i="2"/>
  <c r="L150" i="2"/>
  <c r="V150" i="2" s="1"/>
  <c r="X150" i="2" s="1"/>
  <c r="AS149" i="2"/>
  <c r="AA149" i="2"/>
  <c r="T149" i="2"/>
  <c r="L149" i="2"/>
  <c r="V149" i="2" s="1"/>
  <c r="X149" i="2" s="1"/>
  <c r="AS148" i="2"/>
  <c r="AA148" i="2"/>
  <c r="T148" i="2"/>
  <c r="L148" i="2"/>
  <c r="V148" i="2" s="1"/>
  <c r="X148" i="2" s="1"/>
  <c r="AS147" i="2"/>
  <c r="AA147" i="2"/>
  <c r="T147" i="2"/>
  <c r="L147" i="2"/>
  <c r="V147" i="2" s="1"/>
  <c r="X147" i="2" s="1"/>
  <c r="AS146" i="2"/>
  <c r="AA146" i="2"/>
  <c r="T146" i="2"/>
  <c r="L146" i="2"/>
  <c r="V146" i="2" s="1"/>
  <c r="X146" i="2" s="1"/>
  <c r="AM145" i="2"/>
  <c r="AS145" i="2" s="1"/>
  <c r="L145" i="2"/>
  <c r="AI145" i="2" s="1"/>
  <c r="AM144" i="2"/>
  <c r="L144" i="2"/>
  <c r="AI144" i="2" s="1"/>
  <c r="AM143" i="2"/>
  <c r="AU143" i="2" s="1"/>
  <c r="AC143" i="2" s="1"/>
  <c r="L143" i="2"/>
  <c r="AI143" i="2" s="1"/>
  <c r="AM142" i="2"/>
  <c r="U142" i="2"/>
  <c r="L142" i="2"/>
  <c r="AI142" i="2" s="1"/>
  <c r="AM141" i="2"/>
  <c r="AE141" i="2" s="1"/>
  <c r="U141" i="2"/>
  <c r="L141" i="2"/>
  <c r="AI141" i="2" s="1"/>
  <c r="AX140" i="2"/>
  <c r="AM140" i="2"/>
  <c r="AA140" i="2"/>
  <c r="U140" i="2"/>
  <c r="T140" i="2"/>
  <c r="L140" i="2"/>
  <c r="V140" i="2" s="1"/>
  <c r="X140" i="2" s="1"/>
  <c r="AX139" i="2"/>
  <c r="AM139" i="2"/>
  <c r="AA139" i="2"/>
  <c r="U139" i="2"/>
  <c r="T139" i="2"/>
  <c r="L139" i="2"/>
  <c r="AI139" i="2" s="1"/>
  <c r="AX138" i="2"/>
  <c r="AJ138" i="2"/>
  <c r="AM138" i="2" s="1"/>
  <c r="R138" i="2" s="1"/>
  <c r="U138" i="2"/>
  <c r="L138" i="2"/>
  <c r="J138" i="2" s="1"/>
  <c r="AX137" i="2"/>
  <c r="AI137" i="2"/>
  <c r="X137" i="2"/>
  <c r="U137" i="2"/>
  <c r="T137" i="2"/>
  <c r="L137" i="2"/>
  <c r="AC136" i="2"/>
  <c r="AS136" i="2"/>
  <c r="X136" i="2"/>
  <c r="U136" i="2"/>
  <c r="T136" i="2"/>
  <c r="L136" i="2"/>
  <c r="AC135" i="2"/>
  <c r="AS135" i="2"/>
  <c r="X135" i="2"/>
  <c r="U135" i="2"/>
  <c r="T135" i="2"/>
  <c r="L135" i="2"/>
  <c r="AJ134" i="2"/>
  <c r="AM134" i="2" s="1"/>
  <c r="AE134" i="2"/>
  <c r="U134" i="2"/>
  <c r="R134" i="2"/>
  <c r="T134" i="2" s="1"/>
  <c r="L134" i="2"/>
  <c r="AX133" i="2"/>
  <c r="AU133" i="2"/>
  <c r="AM133" i="2"/>
  <c r="AI133" i="2"/>
  <c r="U133" i="2"/>
  <c r="J133" i="2"/>
  <c r="AX132" i="2"/>
  <c r="AU132" i="2"/>
  <c r="AM132" i="2"/>
  <c r="AN132" i="2" s="1"/>
  <c r="AI132" i="2"/>
  <c r="U132" i="2"/>
  <c r="J132" i="2"/>
  <c r="AX131" i="2"/>
  <c r="AU131" i="2"/>
  <c r="AM131" i="2"/>
  <c r="AN131" i="2" s="1"/>
  <c r="AI131" i="2"/>
  <c r="U131" i="2"/>
  <c r="J131" i="2"/>
  <c r="AX130" i="2"/>
  <c r="AU130" i="2"/>
  <c r="AM130" i="2"/>
  <c r="AI130" i="2"/>
  <c r="U130" i="2"/>
  <c r="J130" i="2"/>
  <c r="AX129" i="2"/>
  <c r="AU129" i="2"/>
  <c r="AM129" i="2"/>
  <c r="AN129" i="2" s="1"/>
  <c r="AI129" i="2"/>
  <c r="U129" i="2"/>
  <c r="J129" i="2"/>
  <c r="AX128" i="2"/>
  <c r="AU128" i="2"/>
  <c r="AM128" i="2"/>
  <c r="AN128" i="2" s="1"/>
  <c r="AI128" i="2"/>
  <c r="U128" i="2"/>
  <c r="J128" i="2"/>
  <c r="AX127" i="2"/>
  <c r="AU127" i="2"/>
  <c r="AM127" i="2"/>
  <c r="AI127" i="2"/>
  <c r="U127" i="2"/>
  <c r="J127" i="2"/>
  <c r="AX126" i="2"/>
  <c r="AU126" i="2"/>
  <c r="AM126" i="2"/>
  <c r="AI126" i="2"/>
  <c r="U126" i="2"/>
  <c r="J126" i="2"/>
  <c r="AX125" i="2"/>
  <c r="AU125" i="2"/>
  <c r="AM125" i="2"/>
  <c r="AN125" i="2" s="1"/>
  <c r="AI125" i="2"/>
  <c r="U125" i="2"/>
  <c r="J125" i="2"/>
  <c r="AX124" i="2"/>
  <c r="AU124" i="2"/>
  <c r="AM124" i="2"/>
  <c r="AI124" i="2"/>
  <c r="U124" i="2"/>
  <c r="J124" i="2"/>
  <c r="AX123" i="2"/>
  <c r="AU123" i="2"/>
  <c r="AJ123" i="2"/>
  <c r="AI123" i="2" s="1"/>
  <c r="U123" i="2"/>
  <c r="J123" i="2"/>
  <c r="AM122" i="2"/>
  <c r="AN122" i="2" s="1"/>
  <c r="AI122" i="2"/>
  <c r="W122" i="2"/>
  <c r="S122" i="2" s="1"/>
  <c r="U122" i="2" s="1"/>
  <c r="V122" i="2"/>
  <c r="X122" i="2" s="1"/>
  <c r="AM121" i="2"/>
  <c r="AN121" i="2" s="1"/>
  <c r="AI121" i="2"/>
  <c r="W121" i="2"/>
  <c r="S121" i="2" s="1"/>
  <c r="U121" i="2" s="1"/>
  <c r="V121" i="2"/>
  <c r="X121" i="2" s="1"/>
  <c r="AM120" i="2"/>
  <c r="AN120" i="2" s="1"/>
  <c r="AI120" i="2"/>
  <c r="W120" i="2"/>
  <c r="S120" i="2" s="1"/>
  <c r="U120" i="2" s="1"/>
  <c r="V120" i="2"/>
  <c r="AM119" i="2"/>
  <c r="AN119" i="2" s="1"/>
  <c r="AI119" i="2"/>
  <c r="W119" i="2"/>
  <c r="S119" i="2" s="1"/>
  <c r="U119" i="2" s="1"/>
  <c r="V119" i="2"/>
  <c r="R119" i="2" s="1"/>
  <c r="AM118" i="2"/>
  <c r="AN118" i="2" s="1"/>
  <c r="AI118" i="2"/>
  <c r="W118" i="2"/>
  <c r="S118" i="2" s="1"/>
  <c r="V118" i="2"/>
  <c r="R118" i="2" s="1"/>
  <c r="AM117" i="2"/>
  <c r="AN117" i="2" s="1"/>
  <c r="AI117" i="2"/>
  <c r="W117" i="2"/>
  <c r="S117" i="2" s="1"/>
  <c r="V117" i="2"/>
  <c r="AM116" i="2"/>
  <c r="AN116" i="2" s="1"/>
  <c r="AI116" i="2"/>
  <c r="W116" i="2"/>
  <c r="S116" i="2" s="1"/>
  <c r="V116" i="2"/>
  <c r="AM115" i="2"/>
  <c r="AN115" i="2" s="1"/>
  <c r="AI115" i="2"/>
  <c r="W115" i="2"/>
  <c r="S115" i="2" s="1"/>
  <c r="U115" i="2" s="1"/>
  <c r="V115" i="2"/>
  <c r="X115" i="2" s="1"/>
  <c r="AM114" i="2"/>
  <c r="AN114" i="2" s="1"/>
  <c r="AI114" i="2"/>
  <c r="W114" i="2"/>
  <c r="S114" i="2" s="1"/>
  <c r="U114" i="2" s="1"/>
  <c r="V114" i="2"/>
  <c r="AM113" i="2"/>
  <c r="AN113" i="2" s="1"/>
  <c r="AI113" i="2"/>
  <c r="W113" i="2"/>
  <c r="S113" i="2" s="1"/>
  <c r="U113" i="2" s="1"/>
  <c r="V113" i="2"/>
  <c r="R113" i="2" s="1"/>
  <c r="AM112" i="2"/>
  <c r="AN112" i="2" s="1"/>
  <c r="AI112" i="2"/>
  <c r="W112" i="2"/>
  <c r="S112" i="2" s="1"/>
  <c r="U112" i="2" s="1"/>
  <c r="V112" i="2"/>
  <c r="AM111" i="2"/>
  <c r="AN111" i="2" s="1"/>
  <c r="AI111" i="2"/>
  <c r="W111" i="2"/>
  <c r="S111" i="2" s="1"/>
  <c r="AB111" i="2" s="1"/>
  <c r="V111" i="2"/>
  <c r="AM110" i="2"/>
  <c r="AN110" i="2" s="1"/>
  <c r="AI110" i="2"/>
  <c r="W110" i="2"/>
  <c r="S110" i="2" s="1"/>
  <c r="V110" i="2"/>
  <c r="AM109" i="2"/>
  <c r="AN109" i="2" s="1"/>
  <c r="AI109" i="2"/>
  <c r="W109" i="2"/>
  <c r="S109" i="2" s="1"/>
  <c r="V109" i="2"/>
  <c r="R109" i="2" s="1"/>
  <c r="AM108" i="2"/>
  <c r="AN108" i="2" s="1"/>
  <c r="AI108" i="2"/>
  <c r="W108" i="2"/>
  <c r="S108" i="2" s="1"/>
  <c r="U108" i="2" s="1"/>
  <c r="V108" i="2"/>
  <c r="AM107" i="2"/>
  <c r="AN107" i="2" s="1"/>
  <c r="AI107" i="2"/>
  <c r="W107" i="2"/>
  <c r="S107" i="2" s="1"/>
  <c r="AB107" i="2" s="1"/>
  <c r="V107" i="2"/>
  <c r="AM106" i="2"/>
  <c r="AN106" i="2" s="1"/>
  <c r="AI106" i="2"/>
  <c r="X106" i="2"/>
  <c r="W106" i="2"/>
  <c r="S106" i="2" s="1"/>
  <c r="AB106" i="2" s="1"/>
  <c r="R106" i="2"/>
  <c r="T106" i="2" s="1"/>
  <c r="AM105" i="2"/>
  <c r="AN105" i="2" s="1"/>
  <c r="AI105" i="2"/>
  <c r="X105" i="2"/>
  <c r="W105" i="2"/>
  <c r="S105" i="2" s="1"/>
  <c r="U105" i="2" s="1"/>
  <c r="R105" i="2"/>
  <c r="AM104" i="2"/>
  <c r="AN104" i="2" s="1"/>
  <c r="AI104" i="2"/>
  <c r="X104" i="2"/>
  <c r="W104" i="2"/>
  <c r="S104" i="2" s="1"/>
  <c r="U104" i="2" s="1"/>
  <c r="R104" i="2"/>
  <c r="T104" i="2" s="1"/>
  <c r="AM103" i="2"/>
  <c r="AN103" i="2" s="1"/>
  <c r="AI103" i="2"/>
  <c r="X103" i="2"/>
  <c r="W103" i="2"/>
  <c r="S103" i="2" s="1"/>
  <c r="R103" i="2"/>
  <c r="AM102" i="2"/>
  <c r="AN102" i="2" s="1"/>
  <c r="AI102" i="2"/>
  <c r="X102" i="2"/>
  <c r="W102" i="2"/>
  <c r="S102" i="2" s="1"/>
  <c r="R102" i="2"/>
  <c r="AA102" i="2" s="1"/>
  <c r="AM101" i="2"/>
  <c r="AN101" i="2" s="1"/>
  <c r="AI101" i="2"/>
  <c r="X101" i="2"/>
  <c r="W101" i="2"/>
  <c r="S101" i="2" s="1"/>
  <c r="R101" i="2"/>
  <c r="AJ100" i="2"/>
  <c r="AI100" i="2" s="1"/>
  <c r="X100" i="2"/>
  <c r="W100" i="2"/>
  <c r="S100" i="2" s="1"/>
  <c r="AB100" i="2" s="1"/>
  <c r="R100" i="2"/>
  <c r="T100" i="2" s="1"/>
  <c r="AJ99" i="2"/>
  <c r="AM99" i="2" s="1"/>
  <c r="AN99" i="2" s="1"/>
  <c r="X99" i="2"/>
  <c r="W99" i="2"/>
  <c r="S99" i="2" s="1"/>
  <c r="U99" i="2" s="1"/>
  <c r="R99" i="2"/>
  <c r="AA99" i="2" s="1"/>
  <c r="AX98" i="2"/>
  <c r="AJ98" i="2"/>
  <c r="AI98" i="2" s="1"/>
  <c r="AE98" i="2"/>
  <c r="U98" i="2"/>
  <c r="T98" i="2"/>
  <c r="J98" i="2"/>
  <c r="AM97" i="2"/>
  <c r="AE97" i="2"/>
  <c r="AA97" i="2"/>
  <c r="U97" i="2"/>
  <c r="T97" i="2"/>
  <c r="L97" i="2"/>
  <c r="AM96" i="2"/>
  <c r="AE96" i="2"/>
  <c r="AA96" i="2"/>
  <c r="U96" i="2"/>
  <c r="T96" i="2"/>
  <c r="L96" i="2"/>
  <c r="V96" i="2" s="1"/>
  <c r="X96" i="2" s="1"/>
  <c r="AM95" i="2"/>
  <c r="AS95" i="2" s="1"/>
  <c r="U95" i="2"/>
  <c r="T95" i="2"/>
  <c r="L95" i="2"/>
  <c r="AM94" i="2"/>
  <c r="AS94" i="2" s="1"/>
  <c r="U94" i="2"/>
  <c r="T94" i="2"/>
  <c r="L94" i="2"/>
  <c r="AM93" i="2"/>
  <c r="U93" i="2"/>
  <c r="T93" i="2"/>
  <c r="L93" i="2"/>
  <c r="AX92" i="2"/>
  <c r="U92" i="2"/>
  <c r="T92" i="2"/>
  <c r="L92" i="2"/>
  <c r="AJ92" i="2" s="1"/>
  <c r="AM92" i="2" s="1"/>
  <c r="AX91" i="2"/>
  <c r="U91" i="2"/>
  <c r="T91" i="2"/>
  <c r="L91" i="2"/>
  <c r="AJ91" i="2" s="1"/>
  <c r="AM91" i="2" s="1"/>
  <c r="AN91" i="2" s="1"/>
  <c r="AX90" i="2"/>
  <c r="U90" i="2"/>
  <c r="T90" i="2"/>
  <c r="L90" i="2"/>
  <c r="AJ90" i="2" s="1"/>
  <c r="AM90" i="2" s="1"/>
  <c r="AX89" i="2"/>
  <c r="U89" i="2"/>
  <c r="T89" i="2"/>
  <c r="L89" i="2"/>
  <c r="AJ89" i="2" s="1"/>
  <c r="AM89" i="2" s="1"/>
  <c r="AN89" i="2" s="1"/>
  <c r="AM88" i="2"/>
  <c r="AJ88" i="2" s="1"/>
  <c r="AE88" i="2"/>
  <c r="U88" i="2"/>
  <c r="R88" i="2"/>
  <c r="T88" i="2" s="1"/>
  <c r="L88" i="2"/>
  <c r="AJ87" i="2"/>
  <c r="AM87" i="2" s="1"/>
  <c r="AI87" i="2"/>
  <c r="U87" i="2"/>
  <c r="AI86" i="2"/>
  <c r="U86" i="2"/>
  <c r="T86" i="2"/>
  <c r="L86" i="2"/>
  <c r="AI85" i="2"/>
  <c r="U85" i="2"/>
  <c r="T85" i="2"/>
  <c r="L85" i="2"/>
  <c r="AI84" i="2"/>
  <c r="U84" i="2"/>
  <c r="T84" i="2"/>
  <c r="L84" i="2"/>
  <c r="AS83" i="2"/>
  <c r="AE83" i="2"/>
  <c r="U83" i="2"/>
  <c r="T83" i="2"/>
  <c r="AU83" i="2" s="1"/>
  <c r="AC83" i="2" s="1"/>
  <c r="L83" i="2"/>
  <c r="AS82" i="2"/>
  <c r="AJ82" i="2"/>
  <c r="AE82" i="2"/>
  <c r="AA82" i="2"/>
  <c r="AC82" i="2" s="1"/>
  <c r="U82" i="2"/>
  <c r="T82" i="2"/>
  <c r="AU82" i="2" s="1"/>
  <c r="K82" i="2"/>
  <c r="L82" i="2" s="1"/>
  <c r="AS81" i="2"/>
  <c r="AJ81" i="2"/>
  <c r="AE81" i="2"/>
  <c r="AA81" i="2"/>
  <c r="AC81" i="2" s="1"/>
  <c r="U81" i="2"/>
  <c r="T81" i="2"/>
  <c r="AU81" i="2" s="1"/>
  <c r="K81" i="2"/>
  <c r="L81" i="2" s="1"/>
  <c r="AN81" i="2" s="1"/>
  <c r="AJ80" i="2"/>
  <c r="AM80" i="2" s="1"/>
  <c r="AE80" i="2"/>
  <c r="U80" i="2"/>
  <c r="T80" i="2"/>
  <c r="L80" i="2"/>
  <c r="AJ79" i="2"/>
  <c r="AM79" i="2" s="1"/>
  <c r="AS79" i="2" s="1"/>
  <c r="AE79" i="2"/>
  <c r="U79" i="2"/>
  <c r="T79" i="2"/>
  <c r="L79" i="2"/>
  <c r="AJ78" i="2"/>
  <c r="AM78" i="2" s="1"/>
  <c r="AE78" i="2"/>
  <c r="U78" i="2"/>
  <c r="T78" i="2"/>
  <c r="L78" i="2"/>
  <c r="AJ77" i="2"/>
  <c r="AE77" i="2"/>
  <c r="U77" i="2"/>
  <c r="R77" i="2"/>
  <c r="L77" i="2"/>
  <c r="AJ76" i="2"/>
  <c r="AM76" i="2" s="1"/>
  <c r="AE76" i="2"/>
  <c r="U76" i="2"/>
  <c r="T76" i="2"/>
  <c r="L76" i="2"/>
  <c r="AX75" i="2"/>
  <c r="AS75" i="2"/>
  <c r="U75" i="2"/>
  <c r="T75" i="2"/>
  <c r="AU75" i="2" s="1"/>
  <c r="AC75" i="2" s="1"/>
  <c r="J75" i="2"/>
  <c r="AS74" i="2"/>
  <c r="U74" i="2"/>
  <c r="T74" i="2"/>
  <c r="AU74" i="2" s="1"/>
  <c r="AC74" i="2" s="1"/>
  <c r="AS73" i="2"/>
  <c r="U73" i="2"/>
  <c r="T73" i="2"/>
  <c r="AU73" i="2" s="1"/>
  <c r="AC73" i="2" s="1"/>
  <c r="AS72" i="2"/>
  <c r="U72" i="2"/>
  <c r="T72" i="2"/>
  <c r="AU72" i="2" s="1"/>
  <c r="AC72" i="2" s="1"/>
  <c r="AS71" i="2"/>
  <c r="U71" i="2"/>
  <c r="T71" i="2"/>
  <c r="AU71" i="2" s="1"/>
  <c r="AC71" i="2" s="1"/>
  <c r="AS70" i="2"/>
  <c r="U70" i="2"/>
  <c r="T70" i="2"/>
  <c r="AU70" i="2" s="1"/>
  <c r="AC70" i="2" s="1"/>
  <c r="AJ69" i="2"/>
  <c r="AM69" i="2" s="1"/>
  <c r="AE69" i="2"/>
  <c r="U69" i="2"/>
  <c r="T69" i="2"/>
  <c r="L69" i="2"/>
  <c r="AJ68" i="2"/>
  <c r="AM68" i="2" s="1"/>
  <c r="AE68" i="2"/>
  <c r="U68" i="2"/>
  <c r="T68" i="2"/>
  <c r="L68" i="2"/>
  <c r="AJ67" i="2"/>
  <c r="AM67" i="2" s="1"/>
  <c r="AS67" i="2" s="1"/>
  <c r="AE67" i="2"/>
  <c r="U67" i="2"/>
  <c r="T67" i="2"/>
  <c r="L67" i="2"/>
  <c r="AM66" i="2"/>
  <c r="AJ66" i="2" s="1"/>
  <c r="AE66" i="2"/>
  <c r="AA66" i="2"/>
  <c r="U66" i="2"/>
  <c r="T66" i="2"/>
  <c r="L66" i="2"/>
  <c r="V66" i="2" s="1"/>
  <c r="X66" i="2" s="1"/>
  <c r="AM65" i="2"/>
  <c r="AE65" i="2"/>
  <c r="AA65" i="2"/>
  <c r="U65" i="2"/>
  <c r="T65" i="2"/>
  <c r="L65" i="2"/>
  <c r="V65" i="2" s="1"/>
  <c r="X65" i="2" s="1"/>
  <c r="AM64" i="2"/>
  <c r="AJ64" i="2" s="1"/>
  <c r="AE64" i="2"/>
  <c r="AA64" i="2"/>
  <c r="U64" i="2"/>
  <c r="T64" i="2"/>
  <c r="L64" i="2"/>
  <c r="AM63" i="2"/>
  <c r="AX63" i="2" s="1"/>
  <c r="AA63" i="2"/>
  <c r="U63" i="2"/>
  <c r="T63" i="2"/>
  <c r="L63" i="2"/>
  <c r="AM62" i="2"/>
  <c r="AS62" i="2" s="1"/>
  <c r="AA62" i="2"/>
  <c r="U62" i="2"/>
  <c r="T62" i="2"/>
  <c r="L62" i="2"/>
  <c r="AM61" i="2"/>
  <c r="AA61" i="2"/>
  <c r="U61" i="2"/>
  <c r="T61" i="2"/>
  <c r="L61" i="2"/>
  <c r="AM60" i="2"/>
  <c r="AX60" i="2" s="1"/>
  <c r="AA60" i="2"/>
  <c r="U60" i="2"/>
  <c r="T60" i="2"/>
  <c r="L60" i="2"/>
  <c r="AM59" i="2"/>
  <c r="AX59" i="2" s="1"/>
  <c r="AA59" i="2"/>
  <c r="U59" i="2"/>
  <c r="T59" i="2"/>
  <c r="L59" i="2"/>
  <c r="AM58" i="2"/>
  <c r="AS58" i="2" s="1"/>
  <c r="AA58" i="2"/>
  <c r="U58" i="2"/>
  <c r="T58" i="2"/>
  <c r="L58" i="2"/>
  <c r="AM57" i="2"/>
  <c r="AS57" i="2" s="1"/>
  <c r="AA57" i="2"/>
  <c r="U57" i="2"/>
  <c r="T57" i="2"/>
  <c r="L57" i="2"/>
  <c r="AM56" i="2"/>
  <c r="AA56" i="2"/>
  <c r="U56" i="2"/>
  <c r="T56" i="2"/>
  <c r="L56" i="2"/>
  <c r="AM55" i="2"/>
  <c r="AS55" i="2" s="1"/>
  <c r="AA55" i="2"/>
  <c r="U55" i="2"/>
  <c r="T55" i="2"/>
  <c r="L55" i="2"/>
  <c r="AM54" i="2"/>
  <c r="AA54" i="2"/>
  <c r="U54" i="2"/>
  <c r="T54" i="2"/>
  <c r="L54" i="2"/>
  <c r="AM53" i="2"/>
  <c r="AS53" i="2" s="1"/>
  <c r="AA53" i="2"/>
  <c r="U53" i="2"/>
  <c r="T53" i="2"/>
  <c r="L53" i="2"/>
  <c r="AM52" i="2"/>
  <c r="AS52" i="2" s="1"/>
  <c r="AA52" i="2"/>
  <c r="U52" i="2"/>
  <c r="T52" i="2"/>
  <c r="L52" i="2"/>
  <c r="AM51" i="2"/>
  <c r="AS51" i="2" s="1"/>
  <c r="AA51" i="2"/>
  <c r="U51" i="2"/>
  <c r="T51" i="2"/>
  <c r="L51" i="2"/>
  <c r="AM50" i="2"/>
  <c r="AA50" i="2"/>
  <c r="U50" i="2"/>
  <c r="T50" i="2"/>
  <c r="L50" i="2"/>
  <c r="AM49" i="2"/>
  <c r="AS49" i="2" s="1"/>
  <c r="AA49" i="2"/>
  <c r="U49" i="2"/>
  <c r="T49" i="2"/>
  <c r="L49" i="2"/>
  <c r="AM48" i="2"/>
  <c r="AA48" i="2"/>
  <c r="U48" i="2"/>
  <c r="T48" i="2"/>
  <c r="L48" i="2"/>
  <c r="AM47" i="2"/>
  <c r="AS47" i="2" s="1"/>
  <c r="AA47" i="2"/>
  <c r="U47" i="2"/>
  <c r="T47" i="2"/>
  <c r="L47" i="2"/>
  <c r="AM46" i="2"/>
  <c r="AA46" i="2"/>
  <c r="U46" i="2"/>
  <c r="T46" i="2"/>
  <c r="L46" i="2"/>
  <c r="AG46" i="2" s="1"/>
  <c r="AM45" i="2"/>
  <c r="AS45" i="2" s="1"/>
  <c r="AA45" i="2"/>
  <c r="U45" i="2"/>
  <c r="T45" i="2"/>
  <c r="L45" i="2"/>
  <c r="AG45" i="2" s="1"/>
  <c r="AM44" i="2"/>
  <c r="AS44" i="2" s="1"/>
  <c r="AA44" i="2"/>
  <c r="U44" i="2"/>
  <c r="T44" i="2"/>
  <c r="L44" i="2"/>
  <c r="AG44" i="2" s="1"/>
  <c r="AM43" i="2"/>
  <c r="AE43" i="2" s="1"/>
  <c r="AG43" i="2" s="1"/>
  <c r="AA43" i="2"/>
  <c r="U43" i="2"/>
  <c r="T43" i="2"/>
  <c r="AJ42" i="2"/>
  <c r="AM42" i="2" s="1"/>
  <c r="AA42" i="2"/>
  <c r="U42" i="2"/>
  <c r="T42" i="2"/>
  <c r="L42" i="2"/>
  <c r="AJ41" i="2"/>
  <c r="AM41" i="2" s="1"/>
  <c r="AE41" i="2"/>
  <c r="AA41" i="2"/>
  <c r="U41" i="2"/>
  <c r="T41" i="2"/>
  <c r="L41" i="2"/>
  <c r="AJ40" i="2"/>
  <c r="AM40" i="2" s="1"/>
  <c r="AE40" i="2"/>
  <c r="AA40" i="2"/>
  <c r="U40" i="2"/>
  <c r="T40" i="2"/>
  <c r="L40" i="2"/>
  <c r="AJ39" i="2"/>
  <c r="AE39" i="2"/>
  <c r="AA39" i="2"/>
  <c r="U39" i="2"/>
  <c r="T39" i="2"/>
  <c r="L39" i="2"/>
  <c r="AJ38" i="2"/>
  <c r="AM38" i="2" s="1"/>
  <c r="AS38" i="2" s="1"/>
  <c r="AE38" i="2"/>
  <c r="AA38" i="2"/>
  <c r="U38" i="2"/>
  <c r="T38" i="2"/>
  <c r="L38" i="2"/>
  <c r="AJ37" i="2"/>
  <c r="AM37" i="2" s="1"/>
  <c r="AE37" i="2"/>
  <c r="AA37" i="2"/>
  <c r="U37" i="2"/>
  <c r="T37" i="2"/>
  <c r="L37" i="2"/>
  <c r="AJ36" i="2"/>
  <c r="AM36" i="2" s="1"/>
  <c r="AN36" i="2" s="1"/>
  <c r="AE36" i="2"/>
  <c r="AA36" i="2"/>
  <c r="U36" i="2"/>
  <c r="T36" i="2"/>
  <c r="J36" i="2"/>
  <c r="AJ35" i="2"/>
  <c r="AM35" i="2" s="1"/>
  <c r="AE35" i="2"/>
  <c r="AG35" i="2" s="1"/>
  <c r="AA35" i="2"/>
  <c r="U35" i="2"/>
  <c r="T35" i="2"/>
  <c r="J35" i="2"/>
  <c r="AJ34" i="2"/>
  <c r="AM34" i="2" s="1"/>
  <c r="AS34" i="2" s="1"/>
  <c r="AE34" i="2"/>
  <c r="AG34" i="2" s="1"/>
  <c r="AA34" i="2"/>
  <c r="U34" i="2"/>
  <c r="T34" i="2"/>
  <c r="J34" i="2"/>
  <c r="AJ33" i="2"/>
  <c r="AM33" i="2" s="1"/>
  <c r="AE33" i="2"/>
  <c r="AG33" i="2" s="1"/>
  <c r="AA33" i="2"/>
  <c r="U33" i="2"/>
  <c r="T33" i="2"/>
  <c r="J33" i="2"/>
  <c r="AJ32" i="2"/>
  <c r="AM32" i="2" s="1"/>
  <c r="AN32" i="2" s="1"/>
  <c r="AE32" i="2"/>
  <c r="AG32" i="2" s="1"/>
  <c r="AA32" i="2"/>
  <c r="U32" i="2"/>
  <c r="T32" i="2"/>
  <c r="J32" i="2"/>
  <c r="AJ31" i="2"/>
  <c r="AM31" i="2" s="1"/>
  <c r="AE31" i="2"/>
  <c r="AG31" i="2" s="1"/>
  <c r="AA31" i="2"/>
  <c r="U31" i="2"/>
  <c r="T31" i="2"/>
  <c r="J31" i="2"/>
  <c r="AJ30" i="2"/>
  <c r="AM30" i="2" s="1"/>
  <c r="AE30" i="2"/>
  <c r="AG30" i="2" s="1"/>
  <c r="AA30" i="2"/>
  <c r="U30" i="2"/>
  <c r="T30" i="2"/>
  <c r="J30" i="2"/>
  <c r="AJ29" i="2"/>
  <c r="AM29" i="2" s="1"/>
  <c r="AS29" i="2" s="1"/>
  <c r="AE29" i="2"/>
  <c r="AG29" i="2" s="1"/>
  <c r="AA29" i="2"/>
  <c r="U29" i="2"/>
  <c r="T29" i="2"/>
  <c r="J29" i="2"/>
  <c r="AJ28" i="2"/>
  <c r="AM28" i="2" s="1"/>
  <c r="AN28" i="2" s="1"/>
  <c r="AE28" i="2"/>
  <c r="AA28" i="2"/>
  <c r="U28" i="2"/>
  <c r="T28" i="2"/>
  <c r="J28" i="2"/>
  <c r="AJ27" i="2"/>
  <c r="AM27" i="2" s="1"/>
  <c r="AS27" i="2" s="1"/>
  <c r="AE27" i="2"/>
  <c r="AG27" i="2" s="1"/>
  <c r="AA27" i="2"/>
  <c r="U27" i="2"/>
  <c r="T27" i="2"/>
  <c r="J27" i="2"/>
  <c r="AJ26" i="2"/>
  <c r="AM26" i="2" s="1"/>
  <c r="AN26" i="2" s="1"/>
  <c r="AE26" i="2"/>
  <c r="AG26" i="2" s="1"/>
  <c r="AA26" i="2"/>
  <c r="U26" i="2"/>
  <c r="T26" i="2"/>
  <c r="J26" i="2"/>
  <c r="AJ25" i="2"/>
  <c r="AM25" i="2" s="1"/>
  <c r="AE25" i="2"/>
  <c r="AA25" i="2"/>
  <c r="U25" i="2"/>
  <c r="T25" i="2"/>
  <c r="J25" i="2"/>
  <c r="AE24" i="2"/>
  <c r="AA24" i="2"/>
  <c r="U24" i="2"/>
  <c r="T24" i="2"/>
  <c r="L24" i="2"/>
  <c r="AJ24" i="2" s="1"/>
  <c r="AM24" i="2" s="1"/>
  <c r="AE23" i="2"/>
  <c r="AA23" i="2"/>
  <c r="U23" i="2"/>
  <c r="T23" i="2"/>
  <c r="L23" i="2"/>
  <c r="J23" i="2" s="1"/>
  <c r="AE22" i="2"/>
  <c r="AA22" i="2"/>
  <c r="U22" i="2"/>
  <c r="T22" i="2"/>
  <c r="L22" i="2"/>
  <c r="J22" i="2" s="1"/>
  <c r="AE21" i="2"/>
  <c r="AA21" i="2"/>
  <c r="U21" i="2"/>
  <c r="T21" i="2"/>
  <c r="L21" i="2"/>
  <c r="AJ21" i="2" s="1"/>
  <c r="AM21" i="2" s="1"/>
  <c r="AJ20" i="2"/>
  <c r="AM20" i="2" s="1"/>
  <c r="AE20" i="2"/>
  <c r="AG20" i="2" s="1"/>
  <c r="AA20" i="2"/>
  <c r="U20" i="2"/>
  <c r="T20" i="2"/>
  <c r="J20" i="2"/>
  <c r="AE19" i="2"/>
  <c r="AA19" i="2"/>
  <c r="U19" i="2"/>
  <c r="T19" i="2"/>
  <c r="L19" i="2"/>
  <c r="J19" i="2" s="1"/>
  <c r="AE18" i="2"/>
  <c r="AA18" i="2"/>
  <c r="U18" i="2"/>
  <c r="T18" i="2"/>
  <c r="L18" i="2"/>
  <c r="AJ18" i="2" s="1"/>
  <c r="AM18" i="2" s="1"/>
  <c r="AE17" i="2"/>
  <c r="AA17" i="2"/>
  <c r="U17" i="2"/>
  <c r="T17" i="2"/>
  <c r="L17" i="2"/>
  <c r="AJ17" i="2" s="1"/>
  <c r="AM17" i="2" s="1"/>
  <c r="AY16" i="2"/>
  <c r="AX16" i="2"/>
  <c r="AM16" i="2"/>
  <c r="AS16" i="2" s="1"/>
  <c r="AA16" i="2"/>
  <c r="U16" i="2"/>
  <c r="T16" i="2"/>
  <c r="L16" i="2"/>
  <c r="AJ16" i="2" s="1"/>
  <c r="AF15" i="2"/>
  <c r="AE15" i="2"/>
  <c r="S15" i="2"/>
  <c r="U15" i="2" s="1"/>
  <c r="R15" i="2"/>
  <c r="AS15" i="2" s="1"/>
  <c r="L15" i="2"/>
  <c r="AJ15" i="2" s="1"/>
  <c r="AF14" i="2"/>
  <c r="AE14" i="2"/>
  <c r="S14" i="2"/>
  <c r="R14" i="2"/>
  <c r="AS14" i="2" s="1"/>
  <c r="L14" i="2"/>
  <c r="AJ14" i="2" s="1"/>
  <c r="AF13" i="2"/>
  <c r="AE13" i="2"/>
  <c r="S13" i="2"/>
  <c r="R13" i="2"/>
  <c r="AA13" i="2" s="1"/>
  <c r="AC13" i="2" s="1"/>
  <c r="L13" i="2"/>
  <c r="AJ13" i="2" s="1"/>
  <c r="AF12" i="2"/>
  <c r="AE12" i="2"/>
  <c r="S12" i="2"/>
  <c r="U12" i="2" s="1"/>
  <c r="R12" i="2"/>
  <c r="AA12" i="2" s="1"/>
  <c r="AC12" i="2" s="1"/>
  <c r="L12" i="2"/>
  <c r="AJ12" i="2" s="1"/>
  <c r="AF11" i="2"/>
  <c r="AE11" i="2"/>
  <c r="S11" i="2"/>
  <c r="R11" i="2"/>
  <c r="T11" i="2" s="1"/>
  <c r="L11" i="2"/>
  <c r="AJ11" i="2" s="1"/>
  <c r="AE10" i="2"/>
  <c r="AX10" i="2" s="1"/>
  <c r="U10" i="2"/>
  <c r="R10" i="2"/>
  <c r="AA10" i="2" s="1"/>
  <c r="L10" i="2"/>
  <c r="AJ10" i="2" s="1"/>
  <c r="AU9" i="2"/>
  <c r="AS9" i="2"/>
  <c r="AN9" i="2"/>
  <c r="AA9" i="2"/>
  <c r="V9" i="2"/>
  <c r="U9" i="2"/>
  <c r="T9" i="2"/>
  <c r="L9" i="2"/>
  <c r="AJ9" i="2" s="1"/>
  <c r="AU8" i="2"/>
  <c r="AS8" i="2"/>
  <c r="AN8" i="2"/>
  <c r="AA8" i="2"/>
  <c r="V8" i="2"/>
  <c r="U8" i="2"/>
  <c r="T8" i="2"/>
  <c r="L8" i="2"/>
  <c r="AJ8" i="2" s="1"/>
  <c r="AU7" i="2"/>
  <c r="AS7" i="2"/>
  <c r="AN7" i="2"/>
  <c r="AA7" i="2"/>
  <c r="V7" i="2"/>
  <c r="U7" i="2"/>
  <c r="T7" i="2"/>
  <c r="L7" i="2"/>
  <c r="AJ7" i="2" s="1"/>
  <c r="AU6" i="2"/>
  <c r="AS6" i="2"/>
  <c r="AN6" i="2"/>
  <c r="AA6" i="2"/>
  <c r="V6" i="2"/>
  <c r="U6" i="2"/>
  <c r="T6" i="2"/>
  <c r="L6" i="2"/>
  <c r="AJ6" i="2" s="1"/>
  <c r="AU5" i="2"/>
  <c r="AS5" i="2"/>
  <c r="AN5" i="2"/>
  <c r="AA5" i="2"/>
  <c r="V5" i="2"/>
  <c r="U5" i="2"/>
  <c r="T5" i="2"/>
  <c r="L5" i="2"/>
  <c r="AJ5" i="2" s="1"/>
  <c r="AU4" i="2"/>
  <c r="AS4" i="2"/>
  <c r="AN4" i="2"/>
  <c r="AA4" i="2"/>
  <c r="V4" i="2"/>
  <c r="U4" i="2"/>
  <c r="T4" i="2"/>
  <c r="L4" i="2"/>
  <c r="AJ4" i="2" s="1"/>
  <c r="AM3" i="2"/>
  <c r="AA3" i="2"/>
  <c r="U3" i="2"/>
  <c r="T3" i="2"/>
  <c r="L3" i="2"/>
  <c r="AH3" i="2" s="1"/>
  <c r="AM2" i="2"/>
  <c r="U2" i="2"/>
  <c r="R2" i="2"/>
  <c r="T2" i="2" s="1"/>
  <c r="L2" i="2"/>
  <c r="AH2" i="2" s="1"/>
  <c r="E2" i="2"/>
  <c r="F2" i="2" s="1"/>
  <c r="V247" i="2" l="1"/>
  <c r="AJ267" i="2"/>
  <c r="AN178" i="2"/>
  <c r="AN185" i="2"/>
  <c r="AU57" i="2"/>
  <c r="AU61" i="2"/>
  <c r="AG197" i="2"/>
  <c r="AC49" i="2"/>
  <c r="AV111" i="2"/>
  <c r="V251" i="2"/>
  <c r="AJ137" i="2"/>
  <c r="AM137" i="2" s="1"/>
  <c r="AC137" i="2" s="1"/>
  <c r="AU60" i="2"/>
  <c r="X109" i="2"/>
  <c r="U111" i="2"/>
  <c r="AC8" i="2"/>
  <c r="AU93" i="2"/>
  <c r="AC93" i="2" s="1"/>
  <c r="AU104" i="2"/>
  <c r="AG195" i="2"/>
  <c r="AG298" i="2"/>
  <c r="J17" i="2"/>
  <c r="AJ43" i="2"/>
  <c r="AC65" i="2"/>
  <c r="AN224" i="2"/>
  <c r="AC51" i="2"/>
  <c r="AI64" i="2"/>
  <c r="R121" i="2"/>
  <c r="AS121" i="2" s="1"/>
  <c r="AS184" i="2"/>
  <c r="AU184" i="2"/>
  <c r="AC184" i="2" s="1"/>
  <c r="AN184" i="2"/>
  <c r="AJ209" i="2"/>
  <c r="AM209" i="2" s="1"/>
  <c r="T209" i="2" s="1"/>
  <c r="R209" i="2" s="1"/>
  <c r="AC235" i="2"/>
  <c r="AM123" i="2"/>
  <c r="AN123" i="2" s="1"/>
  <c r="AA132" i="2"/>
  <c r="R132" i="2" s="1"/>
  <c r="AS238" i="2"/>
  <c r="AI39" i="2"/>
  <c r="AU47" i="2"/>
  <c r="V77" i="2"/>
  <c r="X77" i="2" s="1"/>
  <c r="AE224" i="2"/>
  <c r="AG224" i="2" s="1"/>
  <c r="AN232" i="2"/>
  <c r="AC5" i="2"/>
  <c r="T12" i="2"/>
  <c r="T13" i="2"/>
  <c r="AH14" i="2"/>
  <c r="AG17" i="2"/>
  <c r="J24" i="2"/>
  <c r="AJ84" i="2"/>
  <c r="AM84" i="2" s="1"/>
  <c r="AS84" i="2" s="1"/>
  <c r="AS216" i="2"/>
  <c r="AG218" i="2"/>
  <c r="AI227" i="2"/>
  <c r="V12" i="2"/>
  <c r="X12" i="2" s="1"/>
  <c r="AG13" i="2"/>
  <c r="AU27" i="2"/>
  <c r="AC27" i="2" s="1"/>
  <c r="AI40" i="2"/>
  <c r="AJ65" i="2"/>
  <c r="AI65" i="2" s="1"/>
  <c r="AI99" i="2"/>
  <c r="AS143" i="2"/>
  <c r="AX181" i="2"/>
  <c r="V236" i="2"/>
  <c r="AX44" i="2"/>
  <c r="AS65" i="2"/>
  <c r="AI213" i="2"/>
  <c r="AG300" i="2"/>
  <c r="AH11" i="2"/>
  <c r="AG21" i="2"/>
  <c r="AC47" i="2"/>
  <c r="AC57" i="2"/>
  <c r="AU65" i="2"/>
  <c r="AS66" i="2"/>
  <c r="AI88" i="2"/>
  <c r="AM98" i="2"/>
  <c r="AN98" i="2" s="1"/>
  <c r="AE131" i="2"/>
  <c r="AG131" i="2" s="1"/>
  <c r="AI38" i="2"/>
  <c r="AU45" i="2"/>
  <c r="AU55" i="2"/>
  <c r="AJ85" i="2"/>
  <c r="AM85" i="2" s="1"/>
  <c r="AE85" i="2" s="1"/>
  <c r="AG85" i="2" s="1"/>
  <c r="AU97" i="2"/>
  <c r="AB121" i="2"/>
  <c r="AV121" i="2" s="1"/>
  <c r="AE130" i="2"/>
  <c r="AG130" i="2" s="1"/>
  <c r="AN180" i="2"/>
  <c r="AS185" i="2"/>
  <c r="AJ215" i="2"/>
  <c r="AM215" i="2" s="1"/>
  <c r="AE215" i="2" s="1"/>
  <c r="AG215" i="2" s="1"/>
  <c r="AC9" i="2"/>
  <c r="AI37" i="2"/>
  <c r="AG41" i="2"/>
  <c r="AU44" i="2"/>
  <c r="AV107" i="2"/>
  <c r="AI174" i="2"/>
  <c r="AU185" i="2"/>
  <c r="AC185" i="2" s="1"/>
  <c r="AU187" i="2"/>
  <c r="AC187" i="2" s="1"/>
  <c r="AU224" i="2"/>
  <c r="AA228" i="2"/>
  <c r="AC228" i="2" s="1"/>
  <c r="V237" i="2"/>
  <c r="V239" i="2"/>
  <c r="V241" i="2"/>
  <c r="V299" i="2"/>
  <c r="V301" i="2"/>
  <c r="AC6" i="2"/>
  <c r="AC4" i="2"/>
  <c r="AG15" i="2"/>
  <c r="AG19" i="2"/>
  <c r="AG40" i="2"/>
  <c r="AN41" i="2"/>
  <c r="AU49" i="2"/>
  <c r="AC55" i="2"/>
  <c r="AN62" i="2"/>
  <c r="AX65" i="2"/>
  <c r="AC99" i="2"/>
  <c r="U100" i="2"/>
  <c r="V243" i="2"/>
  <c r="AU3" i="2"/>
  <c r="AC3" i="2" s="1"/>
  <c r="AC44" i="2"/>
  <c r="AU53" i="2"/>
  <c r="AI68" i="2"/>
  <c r="AV106" i="2"/>
  <c r="AU140" i="2"/>
  <c r="AI204" i="2"/>
  <c r="AN82" i="2"/>
  <c r="AI82" i="2"/>
  <c r="T138" i="2"/>
  <c r="AU138" i="2" s="1"/>
  <c r="AA138" i="2"/>
  <c r="AC138" i="2" s="1"/>
  <c r="AS138" i="2"/>
  <c r="AS109" i="2"/>
  <c r="AA109" i="2"/>
  <c r="AC109" i="2" s="1"/>
  <c r="AU43" i="2"/>
  <c r="AC43" i="2" s="1"/>
  <c r="AI45" i="2"/>
  <c r="AU46" i="2"/>
  <c r="AU51" i="2"/>
  <c r="AC53" i="2"/>
  <c r="AC60" i="2"/>
  <c r="AX62" i="2"/>
  <c r="AC66" i="2"/>
  <c r="AX69" i="2"/>
  <c r="AI79" i="2"/>
  <c r="AC96" i="2"/>
  <c r="AS106" i="2"/>
  <c r="AN139" i="2"/>
  <c r="AE140" i="2"/>
  <c r="AG140" i="2" s="1"/>
  <c r="AI178" i="2"/>
  <c r="AI194" i="2"/>
  <c r="AG217" i="2"/>
  <c r="AG82" i="2"/>
  <c r="AU66" i="2"/>
  <c r="J18" i="2"/>
  <c r="AI41" i="2"/>
  <c r="AX68" i="2"/>
  <c r="AI69" i="2"/>
  <c r="AU79" i="2"/>
  <c r="AC79" i="2" s="1"/>
  <c r="AU80" i="2"/>
  <c r="AC80" i="2" s="1"/>
  <c r="AJ95" i="2"/>
  <c r="AI95" i="2" s="1"/>
  <c r="AB99" i="2"/>
  <c r="AV99" i="2" s="1"/>
  <c r="AB112" i="2"/>
  <c r="AV112" i="2" s="1"/>
  <c r="AC178" i="2"/>
  <c r="AM194" i="2"/>
  <c r="AX194" i="2" s="1"/>
  <c r="AN196" i="2"/>
  <c r="AJ207" i="2"/>
  <c r="AM207" i="2" s="1"/>
  <c r="AN207" i="2" s="1"/>
  <c r="AI247" i="2"/>
  <c r="V269" i="2"/>
  <c r="AI66" i="2"/>
  <c r="AU76" i="2"/>
  <c r="AC76" i="2" s="1"/>
  <c r="AI96" i="2"/>
  <c r="U107" i="2"/>
  <c r="AE138" i="2"/>
  <c r="AG138" i="2" s="1"/>
  <c r="AE214" i="2"/>
  <c r="AG214" i="2" s="1"/>
  <c r="W12" i="2"/>
  <c r="AN66" i="2"/>
  <c r="AI67" i="2"/>
  <c r="AX79" i="2"/>
  <c r="AJ94" i="2"/>
  <c r="AI94" i="2" s="1"/>
  <c r="AM100" i="2"/>
  <c r="AS100" i="2" s="1"/>
  <c r="AN205" i="2"/>
  <c r="AJ198" i="2"/>
  <c r="AM198" i="2" s="1"/>
  <c r="AS198" i="2" s="1"/>
  <c r="AI232" i="2"/>
  <c r="AI236" i="2"/>
  <c r="V253" i="2"/>
  <c r="V257" i="2"/>
  <c r="AG284" i="2"/>
  <c r="AG65" i="2"/>
  <c r="AB114" i="2"/>
  <c r="AV114" i="2" s="1"/>
  <c r="AU69" i="2"/>
  <c r="AC69" i="2" s="1"/>
  <c r="AB105" i="2"/>
  <c r="AV105" i="2" s="1"/>
  <c r="AN141" i="2"/>
  <c r="AG185" i="2"/>
  <c r="AJ206" i="2"/>
  <c r="AM206" i="2" s="1"/>
  <c r="AN206" i="2" s="1"/>
  <c r="AS221" i="2"/>
  <c r="AJ225" i="2"/>
  <c r="AM225" i="2" s="1"/>
  <c r="AN225" i="2" s="1"/>
  <c r="V245" i="2"/>
  <c r="V261" i="2"/>
  <c r="AE297" i="2"/>
  <c r="AG297" i="2" s="1"/>
  <c r="AX58" i="2"/>
  <c r="AS12" i="2"/>
  <c r="AX18" i="2"/>
  <c r="J21" i="2"/>
  <c r="AG24" i="2"/>
  <c r="AX27" i="2"/>
  <c r="AN40" i="2"/>
  <c r="AU95" i="2"/>
  <c r="AC95" i="2" s="1"/>
  <c r="T102" i="2"/>
  <c r="AU102" i="2" s="1"/>
  <c r="AE133" i="2"/>
  <c r="AG133" i="2" s="1"/>
  <c r="AE143" i="2"/>
  <c r="AG143" i="2" s="1"/>
  <c r="AI195" i="2"/>
  <c r="AY204" i="2"/>
  <c r="AS214" i="2"/>
  <c r="R224" i="2"/>
  <c r="V224" i="2" s="1"/>
  <c r="X224" i="2" s="1"/>
  <c r="AI231" i="2"/>
  <c r="V263" i="2"/>
  <c r="V265" i="2"/>
  <c r="AE267" i="2"/>
  <c r="AG267" i="2" s="1"/>
  <c r="AG299" i="2"/>
  <c r="AN51" i="2"/>
  <c r="V51" i="2"/>
  <c r="X51" i="2" s="1"/>
  <c r="AU67" i="2"/>
  <c r="AC67" i="2" s="1"/>
  <c r="U109" i="2"/>
  <c r="AB109" i="2"/>
  <c r="AV109" i="2" s="1"/>
  <c r="R110" i="2"/>
  <c r="AS110" i="2" s="1"/>
  <c r="X110" i="2"/>
  <c r="R116" i="2"/>
  <c r="AA116" i="2" s="1"/>
  <c r="AC116" i="2" s="1"/>
  <c r="X116" i="2"/>
  <c r="AN145" i="2"/>
  <c r="AI199" i="2"/>
  <c r="AM199" i="2"/>
  <c r="AE199" i="2" s="1"/>
  <c r="AG199" i="2" s="1"/>
  <c r="AN29" i="2"/>
  <c r="AS103" i="2"/>
  <c r="T103" i="2"/>
  <c r="AU103" i="2" s="1"/>
  <c r="U110" i="2"/>
  <c r="AB110" i="2"/>
  <c r="AV110" i="2" s="1"/>
  <c r="R115" i="2"/>
  <c r="AA115" i="2" s="1"/>
  <c r="AC115" i="2" s="1"/>
  <c r="AX236" i="2"/>
  <c r="AN236" i="2"/>
  <c r="AC236" i="2"/>
  <c r="AN49" i="2"/>
  <c r="V49" i="2"/>
  <c r="X49" i="2" s="1"/>
  <c r="AN57" i="2"/>
  <c r="V57" i="2"/>
  <c r="X57" i="2" s="1"/>
  <c r="AN76" i="2"/>
  <c r="AS76" i="2"/>
  <c r="AI81" i="2"/>
  <c r="R108" i="2"/>
  <c r="AA108" i="2" s="1"/>
  <c r="AC108" i="2" s="1"/>
  <c r="X108" i="2"/>
  <c r="AS236" i="2"/>
  <c r="U11" i="2"/>
  <c r="W11" i="2"/>
  <c r="AU29" i="2"/>
  <c r="AC29" i="2" s="1"/>
  <c r="AI3" i="2"/>
  <c r="AJ3" i="2" s="1"/>
  <c r="W13" i="2"/>
  <c r="AG22" i="2"/>
  <c r="AS96" i="2"/>
  <c r="AN96" i="2"/>
  <c r="R114" i="2"/>
  <c r="AA114" i="2" s="1"/>
  <c r="AC114" i="2" s="1"/>
  <c r="X114" i="2"/>
  <c r="AU144" i="2"/>
  <c r="AC144" i="2" s="1"/>
  <c r="AS144" i="2"/>
  <c r="AN144" i="2"/>
  <c r="AN250" i="2"/>
  <c r="AS32" i="2"/>
  <c r="AA2" i="2"/>
  <c r="AC2" i="2" s="1"/>
  <c r="V11" i="2"/>
  <c r="X11" i="2" s="1"/>
  <c r="AI2" i="2"/>
  <c r="AJ2" i="2" s="1"/>
  <c r="AH12" i="2"/>
  <c r="W15" i="2"/>
  <c r="AG18" i="2"/>
  <c r="AG38" i="2"/>
  <c r="AE42" i="2"/>
  <c r="AG42" i="2" s="1"/>
  <c r="AS42" i="2"/>
  <c r="AN47" i="2"/>
  <c r="V47" i="2"/>
  <c r="X47" i="2" s="1"/>
  <c r="AN55" i="2"/>
  <c r="V55" i="2"/>
  <c r="X55" i="2" s="1"/>
  <c r="AU64" i="2"/>
  <c r="AA100" i="2"/>
  <c r="AA103" i="2"/>
  <c r="AC103" i="2" s="1"/>
  <c r="AA126" i="2"/>
  <c r="AC126" i="2" s="1"/>
  <c r="AG216" i="2"/>
  <c r="AX216" i="2"/>
  <c r="AN242" i="2"/>
  <c r="AM265" i="2"/>
  <c r="AX265" i="2" s="1"/>
  <c r="AI265" i="2"/>
  <c r="AS35" i="2"/>
  <c r="AX35" i="2"/>
  <c r="AA11" i="2"/>
  <c r="AC11" i="2" s="1"/>
  <c r="AJ19" i="2"/>
  <c r="AM19" i="2" s="1"/>
  <c r="AN19" i="2" s="1"/>
  <c r="AG37" i="2"/>
  <c r="AU42" i="2"/>
  <c r="AC42" i="2" s="1"/>
  <c r="AG67" i="2"/>
  <c r="AX67" i="2"/>
  <c r="AG78" i="2"/>
  <c r="AG88" i="2"/>
  <c r="AU96" i="2"/>
  <c r="AI97" i="2"/>
  <c r="V97" i="2"/>
  <c r="X97" i="2" s="1"/>
  <c r="AB104" i="2"/>
  <c r="AV104" i="2" s="1"/>
  <c r="AE128" i="2"/>
  <c r="AG128" i="2" s="1"/>
  <c r="AA130" i="2"/>
  <c r="AN130" i="2"/>
  <c r="AM193" i="2"/>
  <c r="AS193" i="2" s="1"/>
  <c r="AI193" i="2"/>
  <c r="AS11" i="2"/>
  <c r="V2" i="2"/>
  <c r="X2" i="2" s="1"/>
  <c r="T15" i="2"/>
  <c r="V15" i="2"/>
  <c r="X15" i="2" s="1"/>
  <c r="AG10" i="2"/>
  <c r="AG12" i="2"/>
  <c r="AA14" i="2"/>
  <c r="AC14" i="2" s="1"/>
  <c r="AH10" i="2"/>
  <c r="AH13" i="2"/>
  <c r="AG14" i="2"/>
  <c r="AA15" i="2"/>
  <c r="AC15" i="2" s="1"/>
  <c r="AX36" i="2"/>
  <c r="AN37" i="2"/>
  <c r="AU38" i="2"/>
  <c r="AC38" i="2" s="1"/>
  <c r="AM39" i="2"/>
  <c r="AU39" i="2" s="1"/>
  <c r="AC39" i="2" s="1"/>
  <c r="AN53" i="2"/>
  <c r="V53" i="2"/>
  <c r="X53" i="2" s="1"/>
  <c r="AA77" i="2"/>
  <c r="T77" i="2"/>
  <c r="AJ93" i="2"/>
  <c r="AI93" i="2" s="1"/>
  <c r="AS93" i="2"/>
  <c r="R111" i="2"/>
  <c r="AA111" i="2" s="1"/>
  <c r="AC111" i="2" s="1"/>
  <c r="X111" i="2"/>
  <c r="X120" i="2"/>
  <c r="R120" i="2"/>
  <c r="AS120" i="2" s="1"/>
  <c r="AY200" i="2"/>
  <c r="AC200" i="2"/>
  <c r="AS200" i="2"/>
  <c r="AS246" i="2"/>
  <c r="AU35" i="2"/>
  <c r="AC35" i="2" s="1"/>
  <c r="V45" i="2"/>
  <c r="X45" i="2" s="1"/>
  <c r="AX96" i="2"/>
  <c r="AU106" i="2"/>
  <c r="AS205" i="2"/>
  <c r="AJ208" i="2"/>
  <c r="AM208" i="2" s="1"/>
  <c r="AN208" i="2" s="1"/>
  <c r="AS227" i="2"/>
  <c r="AH15" i="2"/>
  <c r="AC45" i="2"/>
  <c r="AG68" i="2"/>
  <c r="AG69" i="2"/>
  <c r="AG83" i="2"/>
  <c r="AA104" i="2"/>
  <c r="AC104" i="2" s="1"/>
  <c r="AB115" i="2"/>
  <c r="AV115" i="2" s="1"/>
  <c r="AA128" i="2"/>
  <c r="R128" i="2" s="1"/>
  <c r="AE129" i="2"/>
  <c r="AG129" i="2" s="1"/>
  <c r="AA131" i="2"/>
  <c r="R131" i="2" s="1"/>
  <c r="T131" i="2" s="1"/>
  <c r="AN133" i="2"/>
  <c r="AI140" i="2"/>
  <c r="R141" i="2"/>
  <c r="T141" i="2" s="1"/>
  <c r="AU141" i="2" s="1"/>
  <c r="AN143" i="2"/>
  <c r="AI202" i="2"/>
  <c r="AX205" i="2"/>
  <c r="AN216" i="2"/>
  <c r="AJ219" i="2"/>
  <c r="AM219" i="2" s="1"/>
  <c r="AN219" i="2" s="1"/>
  <c r="V227" i="2"/>
  <c r="X227" i="2" s="1"/>
  <c r="V229" i="2"/>
  <c r="X229" i="2" s="1"/>
  <c r="V280" i="2"/>
  <c r="AG134" i="2"/>
  <c r="AY205" i="2"/>
  <c r="AI42" i="2"/>
  <c r="AN48" i="2"/>
  <c r="AN50" i="2"/>
  <c r="AN54" i="2"/>
  <c r="AN56" i="2"/>
  <c r="AN61" i="2"/>
  <c r="AI78" i="2"/>
  <c r="AN80" i="2"/>
  <c r="AG81" i="2"/>
  <c r="AC97" i="2"/>
  <c r="AS99" i="2"/>
  <c r="T109" i="2"/>
  <c r="AU109" i="2" s="1"/>
  <c r="X119" i="2"/>
  <c r="AA129" i="2"/>
  <c r="AE132" i="2"/>
  <c r="AG132" i="2" s="1"/>
  <c r="AI134" i="2"/>
  <c r="AN140" i="2"/>
  <c r="AI185" i="2"/>
  <c r="AI196" i="2"/>
  <c r="AN202" i="2"/>
  <c r="AM231" i="2"/>
  <c r="AC231" i="2" s="1"/>
  <c r="AN235" i="2"/>
  <c r="AG236" i="2"/>
  <c r="V249" i="2"/>
  <c r="V259" i="2"/>
  <c r="AE282" i="2"/>
  <c r="AG282" i="2" s="1"/>
  <c r="AG301" i="2"/>
  <c r="AC7" i="2"/>
  <c r="AG11" i="2"/>
  <c r="W14" i="2"/>
  <c r="AX17" i="2"/>
  <c r="AG23" i="2"/>
  <c r="AX28" i="2"/>
  <c r="AX31" i="2"/>
  <c r="AG39" i="2"/>
  <c r="AX45" i="2"/>
  <c r="AX47" i="2"/>
  <c r="AX49" i="2"/>
  <c r="AX51" i="2"/>
  <c r="AX53" i="2"/>
  <c r="AX55" i="2"/>
  <c r="AX57" i="2"/>
  <c r="AN58" i="2"/>
  <c r="AC59" i="2"/>
  <c r="AS61" i="2"/>
  <c r="AC64" i="2"/>
  <c r="AI77" i="2"/>
  <c r="AN78" i="2"/>
  <c r="AJ86" i="2"/>
  <c r="AM86" i="2" s="1"/>
  <c r="AE86" i="2" s="1"/>
  <c r="AG86" i="2" s="1"/>
  <c r="AU88" i="2"/>
  <c r="AN93" i="2"/>
  <c r="AN95" i="2"/>
  <c r="AX97" i="2"/>
  <c r="AA106" i="2"/>
  <c r="AC106" i="2" s="1"/>
  <c r="AS140" i="2"/>
  <c r="AG186" i="2"/>
  <c r="AX187" i="2"/>
  <c r="AI214" i="2"/>
  <c r="AS220" i="2"/>
  <c r="V244" i="2"/>
  <c r="AI245" i="2"/>
  <c r="AE269" i="2"/>
  <c r="AG269" i="2" s="1"/>
  <c r="AM298" i="2"/>
  <c r="V300" i="2"/>
  <c r="AX40" i="2"/>
  <c r="AX61" i="2"/>
  <c r="AC63" i="2"/>
  <c r="AU94" i="2"/>
  <c r="AC94" i="2" s="1"/>
  <c r="AN97" i="2"/>
  <c r="AS104" i="2"/>
  <c r="AB120" i="2"/>
  <c r="AV120" i="2" s="1"/>
  <c r="V139" i="2"/>
  <c r="X139" i="2" s="1"/>
  <c r="AI180" i="2"/>
  <c r="AG198" i="2"/>
  <c r="AI228" i="2"/>
  <c r="AM229" i="2"/>
  <c r="AC229" i="2" s="1"/>
  <c r="V231" i="2"/>
  <c r="X231" i="2" s="1"/>
  <c r="V255" i="2"/>
  <c r="AN284" i="2"/>
  <c r="AE227" i="2"/>
  <c r="AG227" i="2" s="1"/>
  <c r="AJ295" i="2"/>
  <c r="AM295" i="2" s="1"/>
  <c r="AN295" i="2" s="1"/>
  <c r="AS24" i="2"/>
  <c r="AN24" i="2"/>
  <c r="AX24" i="2"/>
  <c r="AN21" i="2"/>
  <c r="AS21" i="2"/>
  <c r="AN17" i="2"/>
  <c r="AU17" i="2"/>
  <c r="AC17" i="2" s="1"/>
  <c r="AS17" i="2"/>
  <c r="AS31" i="2"/>
  <c r="AU31" i="2"/>
  <c r="AC31" i="2" s="1"/>
  <c r="AN31" i="2"/>
  <c r="AE87" i="2"/>
  <c r="R87" i="2"/>
  <c r="AU33" i="2"/>
  <c r="AC33" i="2" s="1"/>
  <c r="AS33" i="2"/>
  <c r="AN33" i="2"/>
  <c r="AU92" i="2"/>
  <c r="AC92" i="2" s="1"/>
  <c r="AS92" i="2"/>
  <c r="AN92" i="2"/>
  <c r="AC10" i="2"/>
  <c r="AU10" i="2"/>
  <c r="AU18" i="2"/>
  <c r="AC18" i="2" s="1"/>
  <c r="AS18" i="2"/>
  <c r="AN18" i="2"/>
  <c r="AX25" i="2"/>
  <c r="AN30" i="2"/>
  <c r="AS30" i="2"/>
  <c r="AX30" i="2"/>
  <c r="AX20" i="2"/>
  <c r="AS20" i="2"/>
  <c r="AN20" i="2"/>
  <c r="AU25" i="2"/>
  <c r="AC25" i="2" s="1"/>
  <c r="AS25" i="2"/>
  <c r="AN25" i="2"/>
  <c r="AS232" i="2"/>
  <c r="V232" i="2"/>
  <c r="X232" i="2" s="1"/>
  <c r="AA232" i="2"/>
  <c r="AC232" i="2" s="1"/>
  <c r="AM237" i="2"/>
  <c r="AI237" i="2"/>
  <c r="AX244" i="2"/>
  <c r="AC244" i="2"/>
  <c r="AS244" i="2"/>
  <c r="AN244" i="2"/>
  <c r="AX252" i="2"/>
  <c r="AC252" i="2"/>
  <c r="AN252" i="2"/>
  <c r="AS252" i="2"/>
  <c r="AU24" i="2"/>
  <c r="AC24" i="2" s="1"/>
  <c r="AN46" i="2"/>
  <c r="AS3" i="2"/>
  <c r="AN16" i="2"/>
  <c r="AS41" i="2"/>
  <c r="AS48" i="2"/>
  <c r="AN63" i="2"/>
  <c r="AG96" i="2"/>
  <c r="U106" i="2"/>
  <c r="X118" i="2"/>
  <c r="AE3" i="2"/>
  <c r="AG3" i="2" s="1"/>
  <c r="AN10" i="2"/>
  <c r="V44" i="2"/>
  <c r="X44" i="2" s="1"/>
  <c r="AI50" i="2"/>
  <c r="AG50" i="2"/>
  <c r="AU50" i="2"/>
  <c r="AI52" i="2"/>
  <c r="AG52" i="2"/>
  <c r="AU52" i="2"/>
  <c r="AI54" i="2"/>
  <c r="AG54" i="2"/>
  <c r="AU54" i="2"/>
  <c r="AI56" i="2"/>
  <c r="AG56" i="2"/>
  <c r="AU56" i="2"/>
  <c r="AI58" i="2"/>
  <c r="AG58" i="2"/>
  <c r="V58" i="2"/>
  <c r="X58" i="2" s="1"/>
  <c r="AS59" i="2"/>
  <c r="AI62" i="2"/>
  <c r="AG62" i="2"/>
  <c r="V62" i="2"/>
  <c r="X62" i="2" s="1"/>
  <c r="AS63" i="2"/>
  <c r="AX76" i="2"/>
  <c r="AG76" i="2"/>
  <c r="AS89" i="2"/>
  <c r="U103" i="2"/>
  <c r="AB103" i="2"/>
  <c r="AV103" i="2" s="1"/>
  <c r="AN127" i="2"/>
  <c r="AE127" i="2"/>
  <c r="AG127" i="2" s="1"/>
  <c r="AN142" i="2"/>
  <c r="AE142" i="2"/>
  <c r="AG142" i="2" s="1"/>
  <c r="R142" i="2"/>
  <c r="AI179" i="2"/>
  <c r="AM179" i="2"/>
  <c r="AN179" i="2" s="1"/>
  <c r="AX186" i="2"/>
  <c r="AU186" i="2"/>
  <c r="AC186" i="2" s="1"/>
  <c r="AS186" i="2"/>
  <c r="AN186" i="2"/>
  <c r="AU30" i="2"/>
  <c r="AC30" i="2" s="1"/>
  <c r="AI61" i="2"/>
  <c r="AG61" i="2"/>
  <c r="V61" i="2"/>
  <c r="X61" i="2" s="1"/>
  <c r="AA119" i="2"/>
  <c r="AC119" i="2" s="1"/>
  <c r="AS119" i="2"/>
  <c r="T119" i="2"/>
  <c r="AU119" i="2" s="1"/>
  <c r="AN134" i="2"/>
  <c r="AX134" i="2"/>
  <c r="AS2" i="2"/>
  <c r="U13" i="2"/>
  <c r="AN34" i="2"/>
  <c r="AS37" i="2"/>
  <c r="AS54" i="2"/>
  <c r="AS56" i="2"/>
  <c r="AN59" i="2"/>
  <c r="AX78" i="2"/>
  <c r="AS26" i="2"/>
  <c r="AU32" i="2"/>
  <c r="AC32" i="2" s="1"/>
  <c r="AU37" i="2"/>
  <c r="AC37" i="2" s="1"/>
  <c r="AX38" i="2"/>
  <c r="AU41" i="2"/>
  <c r="AC41" i="2" s="1"/>
  <c r="AI48" i="2"/>
  <c r="AG48" i="2"/>
  <c r="W10" i="2"/>
  <c r="AS10" i="2"/>
  <c r="AS13" i="2"/>
  <c r="U14" i="2"/>
  <c r="AU16" i="2"/>
  <c r="AC16" i="2" s="1"/>
  <c r="AU21" i="2"/>
  <c r="AC21" i="2" s="1"/>
  <c r="AX21" i="2"/>
  <c r="AU26" i="2"/>
  <c r="AC26" i="2" s="1"/>
  <c r="AS28" i="2"/>
  <c r="AX32" i="2"/>
  <c r="AU34" i="2"/>
  <c r="AC34" i="2" s="1"/>
  <c r="AS36" i="2"/>
  <c r="AS40" i="2"/>
  <c r="AS43" i="2"/>
  <c r="AN45" i="2"/>
  <c r="AX46" i="2"/>
  <c r="AX48" i="2"/>
  <c r="AX50" i="2"/>
  <c r="AX52" i="2"/>
  <c r="AX54" i="2"/>
  <c r="AX56" i="2"/>
  <c r="AU58" i="2"/>
  <c r="AN60" i="2"/>
  <c r="AC61" i="2"/>
  <c r="AU62" i="2"/>
  <c r="AN65" i="2"/>
  <c r="AS69" i="2"/>
  <c r="AN69" i="2"/>
  <c r="AS78" i="2"/>
  <c r="AX80" i="2"/>
  <c r="AG80" i="2"/>
  <c r="AU89" i="2"/>
  <c r="AC89" i="2" s="1"/>
  <c r="AS91" i="2"/>
  <c r="R107" i="2"/>
  <c r="X107" i="2"/>
  <c r="AS113" i="2"/>
  <c r="T113" i="2"/>
  <c r="AU113" i="2" s="1"/>
  <c r="AA113" i="2"/>
  <c r="AC113" i="2" s="1"/>
  <c r="AB119" i="2"/>
  <c r="AV119" i="2" s="1"/>
  <c r="AA127" i="2"/>
  <c r="R117" i="2"/>
  <c r="X117" i="2"/>
  <c r="AA233" i="2"/>
  <c r="V233" i="2"/>
  <c r="X233" i="2" s="1"/>
  <c r="AN2" i="2"/>
  <c r="AN3" i="2"/>
  <c r="T10" i="2"/>
  <c r="AN52" i="2"/>
  <c r="AG97" i="2"/>
  <c r="AG194" i="2"/>
  <c r="AS46" i="2"/>
  <c r="AS50" i="2"/>
  <c r="R112" i="2"/>
  <c r="X112" i="2"/>
  <c r="AU2" i="2"/>
  <c r="V10" i="2"/>
  <c r="X10" i="2" s="1"/>
  <c r="T14" i="2"/>
  <c r="AX29" i="2"/>
  <c r="AU48" i="2"/>
  <c r="V14" i="2"/>
  <c r="X14" i="2" s="1"/>
  <c r="AU20" i="2"/>
  <c r="AC20" i="2" s="1"/>
  <c r="AJ23" i="2"/>
  <c r="AM23" i="2" s="1"/>
  <c r="AN27" i="2"/>
  <c r="AU28" i="2"/>
  <c r="AC28" i="2" s="1"/>
  <c r="AN35" i="2"/>
  <c r="AU36" i="2"/>
  <c r="AC36" i="2" s="1"/>
  <c r="AX37" i="2"/>
  <c r="AU40" i="2"/>
  <c r="AC40" i="2" s="1"/>
  <c r="AX41" i="2"/>
  <c r="AI44" i="2"/>
  <c r="V46" i="2"/>
  <c r="X46" i="2" s="1"/>
  <c r="AI59" i="2"/>
  <c r="AG59" i="2"/>
  <c r="V59" i="2"/>
  <c r="X59" i="2" s="1"/>
  <c r="AS60" i="2"/>
  <c r="AI63" i="2"/>
  <c r="AG63" i="2"/>
  <c r="V63" i="2"/>
  <c r="X63" i="2" s="1"/>
  <c r="AN79" i="2"/>
  <c r="AX88" i="2"/>
  <c r="AN88" i="2"/>
  <c r="AU90" i="2"/>
  <c r="AC90" i="2" s="1"/>
  <c r="AS90" i="2"/>
  <c r="AN90" i="2"/>
  <c r="AU91" i="2"/>
  <c r="AC91" i="2" s="1"/>
  <c r="AA101" i="2"/>
  <c r="AC101" i="2" s="1"/>
  <c r="AS101" i="2"/>
  <c r="T101" i="2"/>
  <c r="AU101" i="2" s="1"/>
  <c r="AB116" i="2"/>
  <c r="AV116" i="2" s="1"/>
  <c r="U116" i="2"/>
  <c r="AU177" i="2"/>
  <c r="AC177" i="2" s="1"/>
  <c r="AS177" i="2"/>
  <c r="AN177" i="2"/>
  <c r="AJ177" i="2"/>
  <c r="AI177" i="2" s="1"/>
  <c r="AS181" i="2"/>
  <c r="V181" i="2"/>
  <c r="X181" i="2" s="1"/>
  <c r="AA181" i="2"/>
  <c r="AC181" i="2" s="1"/>
  <c r="AM77" i="2"/>
  <c r="AM233" i="2"/>
  <c r="AS233" i="2" s="1"/>
  <c r="AI233" i="2"/>
  <c r="AU68" i="2"/>
  <c r="AC68" i="2" s="1"/>
  <c r="AS68" i="2"/>
  <c r="AN68" i="2"/>
  <c r="AE2" i="2"/>
  <c r="AG2" i="2" s="1"/>
  <c r="V13" i="2"/>
  <c r="X13" i="2" s="1"/>
  <c r="AJ22" i="2"/>
  <c r="AM22" i="2" s="1"/>
  <c r="AX26" i="2"/>
  <c r="AX34" i="2"/>
  <c r="AC46" i="2"/>
  <c r="V48" i="2"/>
  <c r="X48" i="2" s="1"/>
  <c r="V50" i="2"/>
  <c r="X50" i="2" s="1"/>
  <c r="V52" i="2"/>
  <c r="X52" i="2" s="1"/>
  <c r="V54" i="2"/>
  <c r="X54" i="2" s="1"/>
  <c r="V56" i="2"/>
  <c r="X56" i="2" s="1"/>
  <c r="AC58" i="2"/>
  <c r="AU59" i="2"/>
  <c r="AC62" i="2"/>
  <c r="AU63" i="2"/>
  <c r="AX64" i="2"/>
  <c r="AS64" i="2"/>
  <c r="AN64" i="2"/>
  <c r="AU78" i="2"/>
  <c r="AC78" i="2" s="1"/>
  <c r="AS80" i="2"/>
  <c r="AB101" i="2"/>
  <c r="AV101" i="2" s="1"/>
  <c r="U101" i="2"/>
  <c r="AC102" i="2"/>
  <c r="AS102" i="2"/>
  <c r="X113" i="2"/>
  <c r="U117" i="2"/>
  <c r="AB117" i="2"/>
  <c r="AV117" i="2" s="1"/>
  <c r="R122" i="2"/>
  <c r="AC139" i="2"/>
  <c r="AS180" i="2"/>
  <c r="T181" i="2"/>
  <c r="AU181" i="2" s="1"/>
  <c r="AS118" i="2"/>
  <c r="T118" i="2"/>
  <c r="AU118" i="2" s="1"/>
  <c r="AA118" i="2"/>
  <c r="AC118" i="2" s="1"/>
  <c r="AX256" i="2"/>
  <c r="AC256" i="2"/>
  <c r="AN256" i="2"/>
  <c r="AS256" i="2"/>
  <c r="AG25" i="2"/>
  <c r="AG28" i="2"/>
  <c r="AG36" i="2"/>
  <c r="U118" i="2"/>
  <c r="AB118" i="2"/>
  <c r="AV118" i="2" s="1"/>
  <c r="AX33" i="2"/>
  <c r="AN38" i="2"/>
  <c r="AN42" i="2"/>
  <c r="AN44" i="2"/>
  <c r="AI46" i="2"/>
  <c r="AI47" i="2"/>
  <c r="AG47" i="2"/>
  <c r="AC48" i="2"/>
  <c r="AI49" i="2"/>
  <c r="AG49" i="2"/>
  <c r="AC50" i="2"/>
  <c r="AI51" i="2"/>
  <c r="AG51" i="2"/>
  <c r="AC52" i="2"/>
  <c r="AI53" i="2"/>
  <c r="AG53" i="2"/>
  <c r="AC54" i="2"/>
  <c r="AI55" i="2"/>
  <c r="AG55" i="2"/>
  <c r="AC56" i="2"/>
  <c r="AI57" i="2"/>
  <c r="AG57" i="2"/>
  <c r="AI60" i="2"/>
  <c r="AG60" i="2"/>
  <c r="V60" i="2"/>
  <c r="X60" i="2" s="1"/>
  <c r="AG64" i="2"/>
  <c r="V64" i="2"/>
  <c r="X64" i="2" s="1"/>
  <c r="AX66" i="2"/>
  <c r="AG66" i="2"/>
  <c r="AA88" i="2"/>
  <c r="AC88" i="2" s="1"/>
  <c r="AS88" i="2"/>
  <c r="V88" i="2"/>
  <c r="X88" i="2" s="1"/>
  <c r="AB102" i="2"/>
  <c r="AV102" i="2" s="1"/>
  <c r="U102" i="2"/>
  <c r="AS105" i="2"/>
  <c r="AA105" i="2"/>
  <c r="AC105" i="2" s="1"/>
  <c r="T105" i="2"/>
  <c r="AU105" i="2" s="1"/>
  <c r="AE124" i="2"/>
  <c r="AG124" i="2" s="1"/>
  <c r="AA124" i="2"/>
  <c r="AN124" i="2"/>
  <c r="AE139" i="2"/>
  <c r="AG139" i="2" s="1"/>
  <c r="AS139" i="2"/>
  <c r="AX180" i="2"/>
  <c r="AX81" i="2"/>
  <c r="AX82" i="2"/>
  <c r="AB108" i="2"/>
  <c r="AV108" i="2" s="1"/>
  <c r="AS175" i="2"/>
  <c r="AN175" i="2"/>
  <c r="AI76" i="2"/>
  <c r="AG79" i="2"/>
  <c r="AI80" i="2"/>
  <c r="AN94" i="2"/>
  <c r="AS97" i="2"/>
  <c r="AB113" i="2"/>
  <c r="AV113" i="2" s="1"/>
  <c r="AN126" i="2"/>
  <c r="AU139" i="2"/>
  <c r="AM213" i="2"/>
  <c r="AS213" i="2" s="1"/>
  <c r="AI138" i="2"/>
  <c r="V138" i="2"/>
  <c r="X138" i="2" s="1"/>
  <c r="AN138" i="2"/>
  <c r="AN174" i="2"/>
  <c r="AI176" i="2"/>
  <c r="AN67" i="2"/>
  <c r="AG77" i="2"/>
  <c r="T99" i="2"/>
  <c r="AU99" i="2" s="1"/>
  <c r="AB122" i="2"/>
  <c r="AV122" i="2" s="1"/>
  <c r="AE125" i="2"/>
  <c r="AG125" i="2" s="1"/>
  <c r="AA125" i="2"/>
  <c r="AA134" i="2"/>
  <c r="AS134" i="2"/>
  <c r="V134" i="2"/>
  <c r="X134" i="2" s="1"/>
  <c r="AS174" i="2"/>
  <c r="AJ175" i="2"/>
  <c r="AI175" i="2" s="1"/>
  <c r="AN176" i="2"/>
  <c r="AU176" i="2"/>
  <c r="AC176" i="2" s="1"/>
  <c r="AS176" i="2"/>
  <c r="AE126" i="2"/>
  <c r="AG126" i="2" s="1"/>
  <c r="AG141" i="2"/>
  <c r="AX144" i="2"/>
  <c r="AX145" i="2"/>
  <c r="AU145" i="2"/>
  <c r="AC145" i="2" s="1"/>
  <c r="AU174" i="2"/>
  <c r="AC174" i="2" s="1"/>
  <c r="AU175" i="2"/>
  <c r="AC175" i="2" s="1"/>
  <c r="AS178" i="2"/>
  <c r="V178" i="2"/>
  <c r="X178" i="2" s="1"/>
  <c r="T178" i="2"/>
  <c r="AU178" i="2" s="1"/>
  <c r="AG200" i="2"/>
  <c r="AI200" i="2"/>
  <c r="AN214" i="2"/>
  <c r="AC214" i="2"/>
  <c r="AC223" i="2"/>
  <c r="AN223" i="2"/>
  <c r="AI246" i="2"/>
  <c r="AG246" i="2"/>
  <c r="AN246" i="2"/>
  <c r="AM255" i="2"/>
  <c r="AI255" i="2"/>
  <c r="AM173" i="2"/>
  <c r="AX178" i="2"/>
  <c r="AA179" i="2"/>
  <c r="V179" i="2"/>
  <c r="X179" i="2" s="1"/>
  <c r="T179" i="2"/>
  <c r="AI181" i="2"/>
  <c r="AS234" i="2"/>
  <c r="AA234" i="2"/>
  <c r="AC234" i="2" s="1"/>
  <c r="V234" i="2"/>
  <c r="AI238" i="2"/>
  <c r="AG238" i="2"/>
  <c r="AN238" i="2"/>
  <c r="V242" i="2"/>
  <c r="AS242" i="2"/>
  <c r="V250" i="2"/>
  <c r="AS250" i="2"/>
  <c r="AA133" i="2"/>
  <c r="AA180" i="2"/>
  <c r="AC180" i="2" s="1"/>
  <c r="V180" i="2"/>
  <c r="X180" i="2" s="1"/>
  <c r="AN187" i="2"/>
  <c r="AI187" i="2"/>
  <c r="AJ197" i="2"/>
  <c r="AM197" i="2" s="1"/>
  <c r="AH200" i="2"/>
  <c r="AC221" i="2"/>
  <c r="AN221" i="2"/>
  <c r="AE223" i="2"/>
  <c r="AG223" i="2" s="1"/>
  <c r="AX234" i="2"/>
  <c r="AN234" i="2"/>
  <c r="AM243" i="2"/>
  <c r="AI243" i="2"/>
  <c r="AM251" i="2"/>
  <c r="AI251" i="2"/>
  <c r="AC140" i="2"/>
  <c r="T180" i="2"/>
  <c r="AU180" i="2" s="1"/>
  <c r="AN181" i="2"/>
  <c r="AG187" i="2"/>
  <c r="AM195" i="2"/>
  <c r="AX196" i="2"/>
  <c r="AC196" i="2"/>
  <c r="AS196" i="2"/>
  <c r="AI203" i="2"/>
  <c r="AX204" i="2"/>
  <c r="AS204" i="2"/>
  <c r="AN204" i="2"/>
  <c r="AE220" i="2"/>
  <c r="AG220" i="2" s="1"/>
  <c r="AC220" i="2"/>
  <c r="AN220" i="2"/>
  <c r="AI230" i="2"/>
  <c r="AM230" i="2"/>
  <c r="AX260" i="2"/>
  <c r="AC260" i="2"/>
  <c r="AN260" i="2"/>
  <c r="AI262" i="2"/>
  <c r="AG262" i="2"/>
  <c r="AX202" i="2"/>
  <c r="AC202" i="2"/>
  <c r="AY202" i="2"/>
  <c r="AN203" i="2"/>
  <c r="AY203" i="2"/>
  <c r="AX203" i="2"/>
  <c r="AC203" i="2"/>
  <c r="AN222" i="2"/>
  <c r="AC222" i="2"/>
  <c r="AS222" i="2"/>
  <c r="AJ226" i="2"/>
  <c r="AM226" i="2" s="1"/>
  <c r="AF226" i="2" s="1"/>
  <c r="AH226" i="2" s="1"/>
  <c r="AI240" i="2"/>
  <c r="AG240" i="2"/>
  <c r="AC245" i="2"/>
  <c r="AS245" i="2"/>
  <c r="AN245" i="2"/>
  <c r="AX245" i="2"/>
  <c r="AI248" i="2"/>
  <c r="AG248" i="2"/>
  <c r="AI254" i="2"/>
  <c r="AG254" i="2"/>
  <c r="AI258" i="2"/>
  <c r="AG258" i="2"/>
  <c r="V262" i="2"/>
  <c r="AS262" i="2"/>
  <c r="AJ266" i="2"/>
  <c r="AE266" i="2"/>
  <c r="AG266" i="2" s="1"/>
  <c r="AC266" i="2"/>
  <c r="AS223" i="2"/>
  <c r="V240" i="2"/>
  <c r="AX242" i="2"/>
  <c r="AC242" i="2"/>
  <c r="V248" i="2"/>
  <c r="AX250" i="2"/>
  <c r="AC250" i="2"/>
  <c r="V254" i="2"/>
  <c r="V258" i="2"/>
  <c r="AN266" i="2"/>
  <c r="AN297" i="2"/>
  <c r="AM259" i="2"/>
  <c r="AI259" i="2"/>
  <c r="AX262" i="2"/>
  <c r="AC262" i="2"/>
  <c r="AN262" i="2"/>
  <c r="AI264" i="2"/>
  <c r="AG264" i="2"/>
  <c r="R266" i="2"/>
  <c r="V266" i="2" s="1"/>
  <c r="AJ294" i="2"/>
  <c r="AM294" i="2" s="1"/>
  <c r="AE184" i="2"/>
  <c r="AG184" i="2" s="1"/>
  <c r="AA227" i="2"/>
  <c r="AC227" i="2" s="1"/>
  <c r="AG235" i="2"/>
  <c r="V238" i="2"/>
  <c r="AX240" i="2"/>
  <c r="AC240" i="2"/>
  <c r="AI241" i="2"/>
  <c r="V246" i="2"/>
  <c r="AX248" i="2"/>
  <c r="AC248" i="2"/>
  <c r="AI249" i="2"/>
  <c r="AX254" i="2"/>
  <c r="AC254" i="2"/>
  <c r="AN254" i="2"/>
  <c r="AX258" i="2"/>
  <c r="AC258" i="2"/>
  <c r="AN258" i="2"/>
  <c r="V264" i="2"/>
  <c r="AS268" i="2"/>
  <c r="V230" i="2"/>
  <c r="X230" i="2" s="1"/>
  <c r="AX232" i="2"/>
  <c r="AI235" i="2"/>
  <c r="AN240" i="2"/>
  <c r="AC241" i="2"/>
  <c r="AS241" i="2"/>
  <c r="AN241" i="2"/>
  <c r="AX241" i="2"/>
  <c r="AI244" i="2"/>
  <c r="AG244" i="2"/>
  <c r="AN248" i="2"/>
  <c r="AC249" i="2"/>
  <c r="AS249" i="2"/>
  <c r="AN249" i="2"/>
  <c r="AX249" i="2"/>
  <c r="AI252" i="2"/>
  <c r="AG252" i="2"/>
  <c r="AS254" i="2"/>
  <c r="AI256" i="2"/>
  <c r="AG256" i="2"/>
  <c r="AS258" i="2"/>
  <c r="AI260" i="2"/>
  <c r="AG260" i="2"/>
  <c r="AC268" i="2"/>
  <c r="AX200" i="2"/>
  <c r="AN200" i="2"/>
  <c r="AM201" i="2"/>
  <c r="AI201" i="2"/>
  <c r="AI205" i="2"/>
  <c r="AJ216" i="2"/>
  <c r="AI216" i="2" s="1"/>
  <c r="AI217" i="2" s="1"/>
  <c r="AI224" i="2"/>
  <c r="AS228" i="2"/>
  <c r="AX238" i="2"/>
  <c r="AC238" i="2"/>
  <c r="AI239" i="2"/>
  <c r="AS240" i="2"/>
  <c r="AX246" i="2"/>
  <c r="AC246" i="2"/>
  <c r="AS248" i="2"/>
  <c r="V252" i="2"/>
  <c r="V256" i="2"/>
  <c r="V260" i="2"/>
  <c r="AS260" i="2"/>
  <c r="AX264" i="2"/>
  <c r="AC264" i="2"/>
  <c r="AS264" i="2"/>
  <c r="AN264" i="2"/>
  <c r="AE268" i="2"/>
  <c r="AG268" i="2" s="1"/>
  <c r="AS270" i="2"/>
  <c r="T208" i="2"/>
  <c r="R208" i="2" s="1"/>
  <c r="AG234" i="2"/>
  <c r="AI234" i="2"/>
  <c r="AC239" i="2"/>
  <c r="AS239" i="2"/>
  <c r="AN239" i="2"/>
  <c r="AX239" i="2"/>
  <c r="AI242" i="2"/>
  <c r="AG242" i="2"/>
  <c r="AC247" i="2"/>
  <c r="AS247" i="2"/>
  <c r="AN247" i="2"/>
  <c r="AX247" i="2"/>
  <c r="AI250" i="2"/>
  <c r="AG250" i="2"/>
  <c r="AM253" i="2"/>
  <c r="AI253" i="2"/>
  <c r="AM257" i="2"/>
  <c r="AI257" i="2"/>
  <c r="AI261" i="2"/>
  <c r="AI263" i="2"/>
  <c r="AC261" i="2"/>
  <c r="AS261" i="2"/>
  <c r="AN261" i="2"/>
  <c r="AC263" i="2"/>
  <c r="AS263" i="2"/>
  <c r="AN263" i="2"/>
  <c r="V268" i="2"/>
  <c r="AJ281" i="2"/>
  <c r="AM281" i="2" s="1"/>
  <c r="AG281" i="2"/>
  <c r="V281" i="2"/>
  <c r="AX228" i="2"/>
  <c r="V235" i="2"/>
  <c r="AX261" i="2"/>
  <c r="AX263" i="2"/>
  <c r="AC269" i="2"/>
  <c r="AS269" i="2"/>
  <c r="AN269" i="2"/>
  <c r="AI284" i="2"/>
  <c r="AN267" i="2"/>
  <c r="AN280" i="2"/>
  <c r="AS280" i="2"/>
  <c r="AI282" i="2"/>
  <c r="AS235" i="2"/>
  <c r="R267" i="2"/>
  <c r="V267" i="2" s="1"/>
  <c r="AE84" i="2" l="1"/>
  <c r="AG84" i="2" s="1"/>
  <c r="AN209" i="2"/>
  <c r="AS98" i="2"/>
  <c r="AA110" i="2"/>
  <c r="AC110" i="2" s="1"/>
  <c r="AX193" i="2"/>
  <c r="AA121" i="2"/>
  <c r="AC121" i="2" s="1"/>
  <c r="AS199" i="2"/>
  <c r="AE137" i="2"/>
  <c r="AG137" i="2" s="1"/>
  <c r="AC199" i="2"/>
  <c r="AN137" i="2"/>
  <c r="AE295" i="2"/>
  <c r="AG295" i="2" s="1"/>
  <c r="AS137" i="2"/>
  <c r="AN199" i="2"/>
  <c r="AC193" i="2"/>
  <c r="T120" i="2"/>
  <c r="AU120" i="2" s="1"/>
  <c r="AU84" i="2"/>
  <c r="AC84" i="2" s="1"/>
  <c r="AS215" i="2"/>
  <c r="R295" i="2"/>
  <c r="V295" i="2" s="1"/>
  <c r="AN84" i="2"/>
  <c r="AU98" i="2"/>
  <c r="AC98" i="2" s="1"/>
  <c r="AC198" i="2"/>
  <c r="AA120" i="2"/>
  <c r="AC120" i="2" s="1"/>
  <c r="AA141" i="2"/>
  <c r="AC141" i="2" s="1"/>
  <c r="T115" i="2"/>
  <c r="AU115" i="2" s="1"/>
  <c r="AS115" i="2"/>
  <c r="AN193" i="2"/>
  <c r="AS131" i="2"/>
  <c r="AS85" i="2"/>
  <c r="AN85" i="2"/>
  <c r="AS231" i="2"/>
  <c r="T121" i="2"/>
  <c r="AU121" i="2" s="1"/>
  <c r="AC100" i="2"/>
  <c r="AN194" i="2"/>
  <c r="AE219" i="2"/>
  <c r="AG219" i="2" s="1"/>
  <c r="AC219" i="2"/>
  <c r="AN100" i="2"/>
  <c r="AV123" i="2"/>
  <c r="V131" i="2"/>
  <c r="X131" i="2" s="1"/>
  <c r="AV100" i="2"/>
  <c r="AC132" i="2"/>
  <c r="AN215" i="2"/>
  <c r="AE123" i="2"/>
  <c r="AG123" i="2" s="1"/>
  <c r="AC215" i="2"/>
  <c r="T110" i="2"/>
  <c r="AU110" i="2" s="1"/>
  <c r="AA123" i="2"/>
  <c r="AX198" i="2"/>
  <c r="AX179" i="2"/>
  <c r="AA224" i="2"/>
  <c r="AC224" i="2" s="1"/>
  <c r="AN198" i="2"/>
  <c r="AX231" i="2"/>
  <c r="AU179" i="2"/>
  <c r="AS111" i="2"/>
  <c r="AE225" i="2"/>
  <c r="AG225" i="2" s="1"/>
  <c r="T207" i="2"/>
  <c r="R207" i="2" s="1"/>
  <c r="AA207" i="2" s="1"/>
  <c r="AC207" i="2" s="1"/>
  <c r="AS224" i="2"/>
  <c r="AN231" i="2"/>
  <c r="AS179" i="2"/>
  <c r="AC179" i="2"/>
  <c r="R126" i="2"/>
  <c r="T126" i="2" s="1"/>
  <c r="AS114" i="2"/>
  <c r="AU85" i="2"/>
  <c r="AC85" i="2" s="1"/>
  <c r="AC128" i="2"/>
  <c r="AC194" i="2"/>
  <c r="AS194" i="2"/>
  <c r="AU77" i="2"/>
  <c r="R225" i="2"/>
  <c r="S225" i="2"/>
  <c r="AF225" i="2"/>
  <c r="AH225" i="2" s="1"/>
  <c r="AU100" i="2"/>
  <c r="T206" i="2"/>
  <c r="R206" i="2" s="1"/>
  <c r="T116" i="2"/>
  <c r="AU116" i="2" s="1"/>
  <c r="AN39" i="2"/>
  <c r="AX39" i="2"/>
  <c r="AN298" i="2"/>
  <c r="AJ298" i="2"/>
  <c r="AI298" i="2" s="1"/>
  <c r="AS219" i="2"/>
  <c r="AS39" i="2"/>
  <c r="T111" i="2"/>
  <c r="AU111" i="2" s="1"/>
  <c r="AS19" i="2"/>
  <c r="AN86" i="2"/>
  <c r="AN229" i="2"/>
  <c r="AX229" i="2"/>
  <c r="AX19" i="2"/>
  <c r="AS116" i="2"/>
  <c r="AU86" i="2"/>
  <c r="AC86" i="2" s="1"/>
  <c r="AU19" i="2"/>
  <c r="AC19" i="2" s="1"/>
  <c r="AS86" i="2"/>
  <c r="T108" i="2"/>
  <c r="AU108" i="2" s="1"/>
  <c r="V141" i="2"/>
  <c r="X141" i="2" s="1"/>
  <c r="AS108" i="2"/>
  <c r="AC130" i="2"/>
  <c r="R130" i="2"/>
  <c r="AN265" i="2"/>
  <c r="AS265" i="2"/>
  <c r="AS229" i="2"/>
  <c r="AC265" i="2"/>
  <c r="AS141" i="2"/>
  <c r="AC131" i="2"/>
  <c r="T114" i="2"/>
  <c r="AU114" i="2" s="1"/>
  <c r="R129" i="2"/>
  <c r="AC129" i="2"/>
  <c r="AX281" i="2"/>
  <c r="AN281" i="2"/>
  <c r="AX22" i="2"/>
  <c r="AS22" i="2"/>
  <c r="AN22" i="2"/>
  <c r="S226" i="2"/>
  <c r="AE226" i="2"/>
  <c r="AG226" i="2" s="1"/>
  <c r="AN226" i="2"/>
  <c r="AC133" i="2"/>
  <c r="R133" i="2"/>
  <c r="AN197" i="2"/>
  <c r="AC197" i="2"/>
  <c r="AS197" i="2"/>
  <c r="V126" i="2"/>
  <c r="X126" i="2" s="1"/>
  <c r="AS77" i="2"/>
  <c r="AN77" i="2"/>
  <c r="T132" i="2"/>
  <c r="AS132" i="2"/>
  <c r="V132" i="2"/>
  <c r="X132" i="2" s="1"/>
  <c r="AA122" i="2"/>
  <c r="AC122" i="2" s="1"/>
  <c r="T122" i="2"/>
  <c r="AU122" i="2" s="1"/>
  <c r="AS122" i="2"/>
  <c r="AE294" i="2"/>
  <c r="AG294" i="2" s="1"/>
  <c r="R294" i="2"/>
  <c r="V294" i="2" s="1"/>
  <c r="AN294" i="2"/>
  <c r="AC237" i="2"/>
  <c r="AS237" i="2"/>
  <c r="AX237" i="2"/>
  <c r="AN237" i="2"/>
  <c r="R226" i="2"/>
  <c r="AN23" i="2"/>
  <c r="AS23" i="2"/>
  <c r="AX23" i="2"/>
  <c r="AC125" i="2"/>
  <c r="R125" i="2"/>
  <c r="R124" i="2"/>
  <c r="AC124" i="2"/>
  <c r="AA112" i="2"/>
  <c r="AC112" i="2" s="1"/>
  <c r="AS112" i="2"/>
  <c r="T112" i="2"/>
  <c r="AU112" i="2" s="1"/>
  <c r="AC233" i="2"/>
  <c r="R127" i="2"/>
  <c r="AC127" i="2"/>
  <c r="AS208" i="2"/>
  <c r="AA208" i="2"/>
  <c r="AC208" i="2" s="1"/>
  <c r="V208" i="2"/>
  <c r="X208" i="2" s="1"/>
  <c r="AC259" i="2"/>
  <c r="AS259" i="2"/>
  <c r="AN259" i="2"/>
  <c r="AX259" i="2"/>
  <c r="AX233" i="2"/>
  <c r="AN233" i="2"/>
  <c r="AA107" i="2"/>
  <c r="AC107" i="2" s="1"/>
  <c r="T107" i="2"/>
  <c r="AU107" i="2" s="1"/>
  <c r="AS107" i="2"/>
  <c r="AI218" i="2"/>
  <c r="AJ218" i="2" s="1"/>
  <c r="AM218" i="2" s="1"/>
  <c r="AJ217" i="2"/>
  <c r="AM217" i="2" s="1"/>
  <c r="AC251" i="2"/>
  <c r="AS251" i="2"/>
  <c r="AN251" i="2"/>
  <c r="AX251" i="2"/>
  <c r="AX197" i="2"/>
  <c r="AE213" i="2"/>
  <c r="AG213" i="2" s="1"/>
  <c r="AN213" i="2"/>
  <c r="AC213" i="2"/>
  <c r="AC255" i="2"/>
  <c r="AS255" i="2"/>
  <c r="AN255" i="2"/>
  <c r="AX255" i="2"/>
  <c r="AU134" i="2"/>
  <c r="AC134" i="2"/>
  <c r="AA117" i="2"/>
  <c r="AC117" i="2" s="1"/>
  <c r="T117" i="2"/>
  <c r="AU117" i="2" s="1"/>
  <c r="AS117" i="2"/>
  <c r="T128" i="2"/>
  <c r="AS128" i="2"/>
  <c r="V128" i="2"/>
  <c r="X128" i="2" s="1"/>
  <c r="AE230" i="2"/>
  <c r="AG230" i="2" s="1"/>
  <c r="AN230" i="2"/>
  <c r="AS230" i="2"/>
  <c r="AC253" i="2"/>
  <c r="AS253" i="2"/>
  <c r="AN253" i="2"/>
  <c r="AX253" i="2"/>
  <c r="AA87" i="2"/>
  <c r="AC87" i="2" s="1"/>
  <c r="T87" i="2"/>
  <c r="AU87" i="2" s="1"/>
  <c r="AS87" i="2"/>
  <c r="AC230" i="2"/>
  <c r="AC195" i="2"/>
  <c r="AX195" i="2"/>
  <c r="AS195" i="2"/>
  <c r="AN195" i="2"/>
  <c r="AC243" i="2"/>
  <c r="AS243" i="2"/>
  <c r="AN243" i="2"/>
  <c r="AX243" i="2"/>
  <c r="AC257" i="2"/>
  <c r="AS257" i="2"/>
  <c r="AN257" i="2"/>
  <c r="AX257" i="2"/>
  <c r="AN201" i="2"/>
  <c r="AS201" i="2"/>
  <c r="AC201" i="2"/>
  <c r="AY201" i="2"/>
  <c r="AX201" i="2"/>
  <c r="AS173" i="2"/>
  <c r="AN173" i="2"/>
  <c r="AJ173" i="2"/>
  <c r="AI173" i="2" s="1"/>
  <c r="AU173" i="2"/>
  <c r="AC173" i="2" s="1"/>
  <c r="AX77" i="2"/>
  <c r="AU22" i="2"/>
  <c r="AC22" i="2" s="1"/>
  <c r="AU23" i="2"/>
  <c r="AC23" i="2" s="1"/>
  <c r="V209" i="2"/>
  <c r="X209" i="2" s="1"/>
  <c r="AA209" i="2"/>
  <c r="AC209" i="2" s="1"/>
  <c r="AS209" i="2"/>
  <c r="AS142" i="2"/>
  <c r="V142" i="2"/>
  <c r="X142" i="2" s="1"/>
  <c r="AA142" i="2"/>
  <c r="AC142" i="2" s="1"/>
  <c r="T142" i="2"/>
  <c r="AU142" i="2" s="1"/>
  <c r="AC77" i="2"/>
  <c r="V207" i="2" l="1"/>
  <c r="X207" i="2" s="1"/>
  <c r="R123" i="2"/>
  <c r="AC123" i="2"/>
  <c r="AS207" i="2"/>
  <c r="AS126" i="2"/>
  <c r="AB225" i="2"/>
  <c r="U225" i="2"/>
  <c r="AV225" i="2" s="1"/>
  <c r="V225" i="2"/>
  <c r="X225" i="2" s="1"/>
  <c r="AA225" i="2"/>
  <c r="AC225" i="2" s="1"/>
  <c r="T225" i="2"/>
  <c r="AU225" i="2" s="1"/>
  <c r="AA206" i="2"/>
  <c r="AC206" i="2" s="1"/>
  <c r="V206" i="2"/>
  <c r="X206" i="2" s="1"/>
  <c r="AS206" i="2"/>
  <c r="T129" i="2"/>
  <c r="V129" i="2"/>
  <c r="X129" i="2" s="1"/>
  <c r="AS129" i="2"/>
  <c r="AS130" i="2"/>
  <c r="V130" i="2"/>
  <c r="X130" i="2" s="1"/>
  <c r="T130" i="2"/>
  <c r="V124" i="2"/>
  <c r="X124" i="2" s="1"/>
  <c r="T124" i="2"/>
  <c r="AS124" i="2"/>
  <c r="T133" i="2"/>
  <c r="AS133" i="2"/>
  <c r="V133" i="2"/>
  <c r="X133" i="2" s="1"/>
  <c r="AX217" i="2"/>
  <c r="AN217" i="2"/>
  <c r="AC217" i="2"/>
  <c r="AS217" i="2"/>
  <c r="U226" i="2"/>
  <c r="AV226" i="2" s="1"/>
  <c r="AB226" i="2"/>
  <c r="V125" i="2"/>
  <c r="X125" i="2" s="1"/>
  <c r="AS125" i="2"/>
  <c r="T125" i="2"/>
  <c r="AC218" i="2"/>
  <c r="AX218" i="2"/>
  <c r="AN218" i="2"/>
  <c r="AS218" i="2"/>
  <c r="AS127" i="2"/>
  <c r="V127" i="2"/>
  <c r="X127" i="2" s="1"/>
  <c r="T127" i="2"/>
  <c r="AA226" i="2"/>
  <c r="AC226" i="2" s="1"/>
  <c r="T226" i="2"/>
  <c r="AU226" i="2" s="1"/>
  <c r="V226" i="2"/>
  <c r="X226" i="2" s="1"/>
  <c r="AS123" i="2" l="1"/>
  <c r="T123" i="2"/>
  <c r="V123" i="2"/>
  <c r="X12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tc={B4C1615D-1C30-374D-8595-61C9F0C1400D}</author>
    <author>tc={53C15420-8707-E940-8CFB-C2DDD7ACC875}</author>
    <author>tc={D70EA0CC-6B4A-E148-A6F5-A9FA7C6983D3}</author>
    <author>tc={86019344-E151-C145-A755-2453BD673F88}</author>
    <author>tc={B26DC418-EA04-9644-8D94-84B958767273}</author>
  </authors>
  <commentList>
    <comment ref="AL14" authorId="0" shapeId="0" xr:uid="{B4C1615D-1C30-374D-8595-61C9F0C1400D}">
      <text>
        <t>[Threaded comment]
Your version of Excel allows you to read this threaded comment; however, any edits to it will get removed if the file is opened in a newer version of Excel. Learn more: https://go.microsoft.com/fwlink/?linkid=870924
Comment:
    Value was 20/40</t>
      </text>
    </comment>
    <comment ref="AL16" authorId="1" shapeId="0" xr:uid="{53C15420-8707-E940-8CFB-C2DDD7ACC875}">
      <text>
        <t>[Threaded comment]
Your version of Excel allows you to read this threaded comment; however, any edits to it will get removed if the file is opened in a newer version of Excel. Learn more: https://go.microsoft.com/fwlink/?linkid=870924
Comment:
    Value was 20/40</t>
      </text>
    </comment>
    <comment ref="AL18" authorId="2" shapeId="0" xr:uid="{D70EA0CC-6B4A-E148-A6F5-A9FA7C6983D3}">
      <text>
        <t>[Threaded comment]
Your version of Excel allows you to read this threaded comment; however, any edits to it will get removed if the file is opened in a newer version of Excel. Learn more: https://go.microsoft.com/fwlink/?linkid=870924
Comment:
    Value was 20/40</t>
      </text>
    </comment>
    <comment ref="AL36" authorId="3" shapeId="0" xr:uid="{86019344-E151-C145-A755-2453BD673F88}">
      <text>
        <t>[Threaded comment]
Your version of Excel allows you to read this threaded comment; however, any edits to it will get removed if the file is opened in a newer version of Excel. Learn more: https://go.microsoft.com/fwlink/?linkid=870924
Comment:
    Value was 20/40</t>
      </text>
    </comment>
    <comment ref="AL68" authorId="4" shapeId="0" xr:uid="{B26DC418-EA04-9644-8D94-84B958767273}">
      <text>
        <t>[Threaded comment]
Your version of Excel allows you to read this threaded comment; however, any edits to it will get removed if the file is opened in a newer version of Excel. Learn more: https://go.microsoft.com/fwlink/?linkid=870924
Comment:
    Value was “various”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Dale</author>
  </authors>
  <commentList>
    <comment ref="T23" authorId="0" shapeId="0" xr:uid="{B74E508A-4B45-234C-A1FC-1EEB18E458C1}">
      <text>
        <r>
          <rPr>
            <b/>
            <sz val="9"/>
            <color indexed="81"/>
            <rFont val="Arial"/>
            <family val="2"/>
          </rPr>
          <t>Michael Dale:</t>
        </r>
        <r>
          <rPr>
            <sz val="9"/>
            <color indexed="81"/>
            <rFont val="Arial"/>
            <family val="2"/>
          </rPr>
          <t xml:space="preserve">
Energy inputs [kWh]
Produce AirX: 736
Produce tower: 4032
Produce batteries: 28950
Transport AirX: 40
Transport tower: 479
Transport batteries: 4701
Store/supply power: 14138
Invert DC to AC: 3391
</t>
        </r>
      </text>
    </comment>
    <comment ref="T34" authorId="0" shapeId="0" xr:uid="{E3A66A6C-007E-0B40-8F52-5396CCF3C13B}">
      <text>
        <r>
          <rPr>
            <b/>
            <sz val="9"/>
            <color indexed="81"/>
            <rFont val="Arial"/>
            <family val="2"/>
          </rPr>
          <t>Michael Dale:</t>
        </r>
        <r>
          <rPr>
            <sz val="9"/>
            <color indexed="81"/>
            <rFont val="Arial"/>
            <family val="2"/>
          </rPr>
          <t xml:space="preserve">
Energy inputs [kJ/kWh]
Turbine production: 461.7
Transport &amp; installation: 103.9
O&amp;M: 198.4
Decommission: -339.7</t>
        </r>
      </text>
    </comment>
    <comment ref="T35" authorId="0" shapeId="0" xr:uid="{B3970FC5-F829-3845-AC49-082B89837B28}">
      <text>
        <r>
          <rPr>
            <b/>
            <sz val="9"/>
            <color indexed="81"/>
            <rFont val="Arial"/>
            <family val="2"/>
          </rPr>
          <t>Michael Dale:</t>
        </r>
        <r>
          <rPr>
            <sz val="9"/>
            <color indexed="81"/>
            <rFont val="Arial"/>
            <family val="2"/>
          </rPr>
          <t xml:space="preserve">
Energy inputs [kJ/kWh]
Turbine production:155.6
Transport &amp; installation: 138
O&amp;M: 52.3
Decommission: -124</t>
        </r>
      </text>
    </comment>
    <comment ref="T36" authorId="0" shapeId="0" xr:uid="{A9C51A02-43DB-6648-8B5A-73D2AF7C6C66}">
      <text>
        <r>
          <rPr>
            <b/>
            <sz val="9"/>
            <color indexed="81"/>
            <rFont val="Arial"/>
            <family val="2"/>
          </rPr>
          <t>Michael Dale:</t>
        </r>
        <r>
          <rPr>
            <sz val="9"/>
            <color indexed="81"/>
            <rFont val="Arial"/>
            <family val="2"/>
          </rPr>
          <t xml:space="preserve">
Energy inputs [kJ/kWh]
Turbine production:142.3
Transport &amp; installation: 113.1
O&amp;M: 9.7
Decommission: -131</t>
        </r>
      </text>
    </comment>
    <comment ref="T90" authorId="0" shapeId="0" xr:uid="{0042E163-D1BA-024E-B4FA-85D5681617C0}">
      <text>
        <r>
          <rPr>
            <b/>
            <sz val="9"/>
            <color indexed="81"/>
            <rFont val="Arial"/>
            <family val="2"/>
          </rPr>
          <t>Michael Dale:</t>
        </r>
        <r>
          <rPr>
            <sz val="9"/>
            <color indexed="81"/>
            <rFont val="Arial"/>
            <family val="2"/>
          </rPr>
          <t xml:space="preserve">
Assumes recycling credit of 12251 MJ</t>
        </r>
      </text>
    </comment>
    <comment ref="T91" authorId="0" shapeId="0" xr:uid="{33BD967F-A288-F94F-8237-708E3BD947E8}">
      <text>
        <r>
          <rPr>
            <b/>
            <sz val="9"/>
            <color indexed="81"/>
            <rFont val="Arial"/>
            <family val="2"/>
          </rPr>
          <t>Michael Dale:</t>
        </r>
        <r>
          <rPr>
            <sz val="9"/>
            <color indexed="81"/>
            <rFont val="Arial"/>
            <family val="2"/>
          </rPr>
          <t xml:space="preserve">
Assumes recycling credit of 12251 MJ</t>
        </r>
      </text>
    </comment>
    <comment ref="T102" authorId="0" shapeId="0" xr:uid="{677C8033-C940-7345-9448-93E3BF554CD6}">
      <text>
        <r>
          <rPr>
            <b/>
            <sz val="9"/>
            <color indexed="81"/>
            <rFont val="Arial"/>
            <family val="2"/>
          </rPr>
          <t>Michael Dale:</t>
        </r>
        <r>
          <rPr>
            <sz val="9"/>
            <color indexed="81"/>
            <rFont val="Arial"/>
            <family val="2"/>
          </rPr>
          <t xml:space="preserve">
Includes a 2.38E8 MJ recycling credit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tc={4D1958C8-5B52-2A46-9032-87539296F1BB}</author>
    <author>tc={6038154D-22AF-1644-8A46-6C675238DA0B}</author>
    <author>tc={3309F8B8-2AA8-5144-B771-C7C864F60639}</author>
    <author>tc={7AFD48AD-A3D0-EA42-8D7E-1A8FBBF43F86}</author>
    <author>tc={0A259A2C-C4EA-6F45-BBAF-88B6C8E4ECB9}</author>
    <author>tc={1FCDB265-BBBB-DB40-9552-0E547E0569EC}</author>
    <author>tc={D8B1A5A3-5D05-1A43-B8C0-F18FE1A5933E}</author>
    <author>tc={D343D3BE-0E05-DF41-B80E-CF68982002FF}</author>
    <author>tc={4E779D22-C419-0740-B810-7F25053FAD20}</author>
  </authors>
  <commentList>
    <comment ref="Z2" authorId="0" shapeId="0" xr:uid="{4D1958C8-5B52-2A46-9032-87539296F1BB}">
      <text>
        <t>[Threaded comment]
Your version of Excel allows you to read this threaded comment; however, any edits to it will get removed if the file is opened in a newer version of Excel. Learn more: https://go.microsoft.com/fwlink/?linkid=870924
Comment:
    A conversion factor of one was used to convert MWh of electricity to tons of coal equivalent.</t>
      </text>
    </comment>
    <comment ref="R44" authorId="1" shapeId="0" xr:uid="{6038154D-22AF-1644-8A46-6C675238DA0B}">
      <text>
        <t>[Threaded comment]
Your version of Excel allows you to read this threaded comment; however, any edits to it will get removed if the file is opened in a newer version of Excel. Learn more: https://go.microsoft.com/fwlink/?linkid=870924
Comment:
    Values from Mendecka (2018) are for lifecycle thermo-ecological cost (LC-TEC)</t>
      </text>
    </comment>
    <comment ref="AE80" authorId="2" shapeId="0" xr:uid="{3309F8B8-2AA8-5144-B771-C7C864F60639}">
      <text>
        <t>[Threaded comment]
Your version of Excel allows you to read this threaded comment; however, any edits to it will get removed if the file is opened in a newer version of Excel. Learn more: https://go.microsoft.com/fwlink/?linkid=870924
Comment:
    Note sure what the units are supposed to be here...</t>
      </text>
    </comment>
    <comment ref="AU135" authorId="3" shapeId="0" xr:uid="{7AFD48AD-A3D0-EA42-8D7E-1A8FBBF43F86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thermo-ecological cost in MJ_exergy/MJ</t>
      </text>
    </comment>
    <comment ref="AU136" authorId="4" shapeId="0" xr:uid="{0A259A2C-C4EA-6F45-BBAF-88B6C8E4ECB9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thermo-ecological cost in MJ_ex/MJ</t>
      </text>
    </comment>
    <comment ref="J270" authorId="5" shapeId="0" xr:uid="{1FCDB265-BBBB-DB40-9552-0E547E0569EC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group is labeled as &lt;1000</t>
      </text>
    </comment>
    <comment ref="J271" authorId="6" shapeId="0" xr:uid="{D8B1A5A3-5D05-1A43-B8C0-F18FE1A5933E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group is labeled as 1000-3000</t>
      </text>
    </comment>
    <comment ref="J272" authorId="7" shapeId="0" xr:uid="{D343D3BE-0E05-DF41-B80E-CF68982002FF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group is labeled as &gt;3000</t>
      </text>
    </comment>
    <comment ref="J273" authorId="8" shapeId="0" xr:uid="{4E779D22-C419-0740-B810-7F25053FAD20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group is labeled as 1000-3000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Michael Dale</author>
    <author>tc={56898BFD-548F-A648-9B76-565EEAD93CF0}</author>
  </authors>
  <commentList>
    <comment ref="D2" authorId="0" shapeId="0" xr:uid="{565FF971-25C1-9444-A900-A8AD3089DDD0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https://www.statista.com/statistics/268363/installed-wind-power-capacity-worldwide/
</t>
        </r>
      </text>
    </comment>
    <comment ref="E2" authorId="1" shapeId="0" xr:uid="{4A3D8A66-5557-1048-938A-98D1FEB7FE86}">
      <text>
        <r>
          <rPr>
            <b/>
            <sz val="9"/>
            <color rgb="FF000000"/>
            <rFont val="Arial"/>
            <family val="2"/>
          </rPr>
          <t>Michael Dale: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http://www.gwec.net/global-figures/graphs/
</t>
        </r>
      </text>
    </comment>
    <comment ref="F2" authorId="1" shapeId="0" xr:uid="{183B285E-F81B-DC4E-A73E-AF4764173A05}">
      <text>
        <r>
          <rPr>
            <b/>
            <sz val="9"/>
            <color rgb="FF000000"/>
            <rFont val="Arial"/>
            <family val="2"/>
          </rPr>
          <t>Michael Dale: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https://www.worldenergy.org/data/resources/resource/wind/
</t>
        </r>
      </text>
    </comment>
    <comment ref="G2" authorId="2" shapeId="0" xr:uid="{56898BFD-548F-A648-9B76-565EEAD93CF0}">
      <text>
        <t>[Threaded comment]
Your version of Excel allows you to read this threaded comment; however, any edits to it will get removed if the file is opened in a newer version of Excel. Learn more: https://go.microsoft.com/fwlink/?linkid=870924
Comment:
    https://wwindea.org/worldwide-wind-capacity-reaches-744-gigawatts/</t>
      </text>
    </comment>
  </commentList>
</comments>
</file>

<file path=xl/sharedStrings.xml><?xml version="1.0" encoding="utf-8"?>
<sst xmlns="http://schemas.openxmlformats.org/spreadsheetml/2006/main" count="11304" uniqueCount="827">
  <si>
    <t>Author</t>
  </si>
  <si>
    <t>Installation year</t>
  </si>
  <si>
    <t>Capacity reference year</t>
  </si>
  <si>
    <t>Location</t>
  </si>
  <si>
    <t>Number turbines</t>
  </si>
  <si>
    <t>CED [MJ(p)/Wp]</t>
  </si>
  <si>
    <t>Error CED [MJ(p)/Wp]</t>
  </si>
  <si>
    <t>Total CO2 emissions [kg CO2-eq]</t>
  </si>
  <si>
    <t>Error total CO2 emissions [kg CO2-eq]</t>
  </si>
  <si>
    <t>CO2 emissions [kg CO2-eq/Wp]</t>
  </si>
  <si>
    <t>Error CO2 emissions [kg CO2-eq/Wp]</t>
  </si>
  <si>
    <t>EROI, no quality adjustment</t>
  </si>
  <si>
    <t>Error EROI</t>
  </si>
  <si>
    <t>Energy intensity [MJ(p)/kWh(e)]</t>
  </si>
  <si>
    <t>Analysis type</t>
  </si>
  <si>
    <t>Turbine information</t>
  </si>
  <si>
    <t>On/offshore</t>
  </si>
  <si>
    <t>Comments</t>
  </si>
  <si>
    <t>Li</t>
  </si>
  <si>
    <t>China</t>
  </si>
  <si>
    <t>O</t>
  </si>
  <si>
    <t>PA-Con.</t>
  </si>
  <si>
    <t>MTCGOD</t>
  </si>
  <si>
    <t>3-blade</t>
  </si>
  <si>
    <t>Onshore</t>
  </si>
  <si>
    <t>25 km of cables to grid interconnect</t>
  </si>
  <si>
    <t>Wang</t>
  </si>
  <si>
    <t>PA</t>
  </si>
  <si>
    <t>MCO</t>
  </si>
  <si>
    <t>Raugei</t>
  </si>
  <si>
    <t>UK</t>
  </si>
  <si>
    <t>Offshore</t>
  </si>
  <si>
    <t>Cao</t>
  </si>
  <si>
    <t>MTCOD</t>
  </si>
  <si>
    <t>Ozoemena</t>
  </si>
  <si>
    <t>C</t>
  </si>
  <si>
    <t>M</t>
  </si>
  <si>
    <t>Basline</t>
  </si>
  <si>
    <t>TIO 1</t>
  </si>
  <si>
    <t>TIO 2</t>
  </si>
  <si>
    <t>TIO 3</t>
  </si>
  <si>
    <t>TIO 4</t>
  </si>
  <si>
    <t>Xue</t>
  </si>
  <si>
    <t>Data taken from Fig. 6</t>
  </si>
  <si>
    <t>Kouloumpis</t>
  </si>
  <si>
    <t>M3</t>
  </si>
  <si>
    <t>OWF1</t>
  </si>
  <si>
    <t>S2</t>
  </si>
  <si>
    <t>OWF2</t>
  </si>
  <si>
    <t>M3.6</t>
  </si>
  <si>
    <t>OWF3</t>
  </si>
  <si>
    <t>OWF4</t>
  </si>
  <si>
    <t>OWF5</t>
  </si>
  <si>
    <t>OWF6</t>
  </si>
  <si>
    <t>L3.6</t>
  </si>
  <si>
    <t>OWF7</t>
  </si>
  <si>
    <t>OWF8</t>
  </si>
  <si>
    <t>OWF9</t>
  </si>
  <si>
    <t>M2</t>
  </si>
  <si>
    <t>OWF10</t>
  </si>
  <si>
    <t>L5</t>
  </si>
  <si>
    <t>OWF11</t>
  </si>
  <si>
    <t>OWF12</t>
  </si>
  <si>
    <t>OWF13</t>
  </si>
  <si>
    <t>OWF14</t>
  </si>
  <si>
    <t>OWF15</t>
  </si>
  <si>
    <t>M2.3</t>
  </si>
  <si>
    <t>OWF16</t>
  </si>
  <si>
    <t>OWF17</t>
  </si>
  <si>
    <t>OWF18</t>
  </si>
  <si>
    <t>OWF19</t>
  </si>
  <si>
    <t>OWF20</t>
  </si>
  <si>
    <t>Savino</t>
  </si>
  <si>
    <t>Italy</t>
  </si>
  <si>
    <t>Hybrid</t>
  </si>
  <si>
    <t>Vestas V47</t>
  </si>
  <si>
    <t>Vestas V25</t>
  </si>
  <si>
    <t>Vestas V20</t>
  </si>
  <si>
    <t>Enercon E40</t>
  </si>
  <si>
    <t>Turbowinds</t>
  </si>
  <si>
    <t>Atilgan</t>
  </si>
  <si>
    <t>Turkey</t>
  </si>
  <si>
    <t>Mix of turbines for Turkish installed capacity</t>
  </si>
  <si>
    <t>Ding</t>
  </si>
  <si>
    <t>MC</t>
  </si>
  <si>
    <t>Mendecka</t>
  </si>
  <si>
    <t>MCOD</t>
  </si>
  <si>
    <t>EnEco 1kW</t>
  </si>
  <si>
    <t>EnEco 3kW</t>
  </si>
  <si>
    <t>Endurance S-343</t>
  </si>
  <si>
    <t>Kingspan KW6</t>
  </si>
  <si>
    <t>Jacobs, C&amp;F Green Energy CF20</t>
  </si>
  <si>
    <t>Pitchwind 30kW</t>
  </si>
  <si>
    <t>Nothern Power 100kW</t>
  </si>
  <si>
    <t>Vestas V39</t>
  </si>
  <si>
    <t>Tacke 600e</t>
  </si>
  <si>
    <t>WindEnergy Lebanon 750kW</t>
  </si>
  <si>
    <t>Vestas V52</t>
  </si>
  <si>
    <t>Suzlon S64</t>
  </si>
  <si>
    <t>Leitwind LTW80</t>
  </si>
  <si>
    <t>Gamesa G80</t>
  </si>
  <si>
    <t>EWT Directwind</t>
  </si>
  <si>
    <t>Gamesa G83</t>
  </si>
  <si>
    <t>Vestas V90-2MW</t>
  </si>
  <si>
    <t>Gamesa G90</t>
  </si>
  <si>
    <t>Vestas V90-3MW</t>
  </si>
  <si>
    <t>Xie</t>
  </si>
  <si>
    <t>Vestas V66</t>
  </si>
  <si>
    <t>Ji</t>
  </si>
  <si>
    <t>IO</t>
  </si>
  <si>
    <t>Assuming all electricity is sent to grid</t>
  </si>
  <si>
    <t>Including loss factor</t>
  </si>
  <si>
    <t>Liu</t>
  </si>
  <si>
    <t>No recycling</t>
  </si>
  <si>
    <t>20% recycling</t>
  </si>
  <si>
    <t>40% recycling</t>
  </si>
  <si>
    <t>60% recycling</t>
  </si>
  <si>
    <t>80% recycling</t>
  </si>
  <si>
    <t>Siddiqui</t>
  </si>
  <si>
    <t>Canada</t>
  </si>
  <si>
    <t>Vestas V80</t>
  </si>
  <si>
    <t>Martinez</t>
  </si>
  <si>
    <t>Gamesa GX8</t>
  </si>
  <si>
    <t>CML 2</t>
  </si>
  <si>
    <t>Eco-points 97</t>
  </si>
  <si>
    <t>EDIP</t>
  </si>
  <si>
    <t>IMPACT2002</t>
  </si>
  <si>
    <t>TRACI</t>
  </si>
  <si>
    <t>Fleck</t>
  </si>
  <si>
    <t>Southwest Wind Air X</t>
  </si>
  <si>
    <t>Includes 46.4 kWh of battery storage</t>
  </si>
  <si>
    <t>Without battery storage</t>
  </si>
  <si>
    <t>Smith</t>
  </si>
  <si>
    <t>Fortis Montana</t>
  </si>
  <si>
    <t>Schreiber</t>
  </si>
  <si>
    <t>Based on 2.3 MW Enercon</t>
  </si>
  <si>
    <t>Direct drive electrically excited synchronous (DDSG)</t>
  </si>
  <si>
    <t>Based on Vestas V112 3.3 MW</t>
  </si>
  <si>
    <t>Direct drive permanent magnet synchronous generators (DDPSMG)</t>
  </si>
  <si>
    <t>Double-fed induction generator (DFIG)</t>
  </si>
  <si>
    <t>Based on Chinese average</t>
  </si>
  <si>
    <t>Gao</t>
  </si>
  <si>
    <t>Gamesa G8X-2MW</t>
  </si>
  <si>
    <t>Aberilla</t>
  </si>
  <si>
    <t>Includes 37 kWh of lead-acid battery storage</t>
  </si>
  <si>
    <t>Includes 22 kWh of Li-ion battery storage</t>
  </si>
  <si>
    <t>Includes 1514 kWh of lead-acid battery storage</t>
  </si>
  <si>
    <t>Includes 354 kWh of Li-ion battery storage</t>
  </si>
  <si>
    <t>Simons</t>
  </si>
  <si>
    <t>Uddin</t>
  </si>
  <si>
    <t>Vertical axis</t>
  </si>
  <si>
    <t>Horizontal axis</t>
  </si>
  <si>
    <t>Zhao</t>
  </si>
  <si>
    <t>Dong Fang FD77-1500</t>
  </si>
  <si>
    <t>Zhang</t>
  </si>
  <si>
    <t>Inland</t>
  </si>
  <si>
    <t>Coastal</t>
  </si>
  <si>
    <t>Walmsley</t>
  </si>
  <si>
    <t>New Zealand</t>
  </si>
  <si>
    <t>Nagashima</t>
  </si>
  <si>
    <t>Japan</t>
  </si>
  <si>
    <t>Vestas V82-1.65 MW</t>
  </si>
  <si>
    <t>Stanek</t>
  </si>
  <si>
    <t>Poland</t>
  </si>
  <si>
    <t>Danthurebandara</t>
  </si>
  <si>
    <t>Sri Lanka</t>
  </si>
  <si>
    <t>Mix of Dongfang FD77B/61.5 and Jinfeng GW82-1500/70</t>
  </si>
  <si>
    <t>Located in Gobi desert</t>
  </si>
  <si>
    <t>Gamesa G8X-850 kW</t>
  </si>
  <si>
    <t>Wanghai Temple wind farm</t>
  </si>
  <si>
    <t>Vestas V52-850 kW</t>
  </si>
  <si>
    <t>Saihan Dam wind farm</t>
  </si>
  <si>
    <t>Lombardi</t>
  </si>
  <si>
    <t>Skyline-10</t>
  </si>
  <si>
    <t>Skyline-30</t>
  </si>
  <si>
    <t>Greening</t>
  </si>
  <si>
    <t>Cherif</t>
  </si>
  <si>
    <t>Bergery BWC XL1</t>
  </si>
  <si>
    <t>Bergery BWC X1.5</t>
  </si>
  <si>
    <t>Bergery BWC 10</t>
  </si>
  <si>
    <t xml:space="preserve"> </t>
  </si>
  <si>
    <t>Proven 0.6</t>
  </si>
  <si>
    <t>Proven 2.5</t>
  </si>
  <si>
    <t>Proven 6</t>
  </si>
  <si>
    <t>Proven 15</t>
  </si>
  <si>
    <t>Nera 700</t>
  </si>
  <si>
    <t>Nera 1000</t>
  </si>
  <si>
    <t>PWPY-400L</t>
  </si>
  <si>
    <t>PWPY-600L</t>
  </si>
  <si>
    <t>PWPY-1000L</t>
  </si>
  <si>
    <t>PWPY-1500L</t>
  </si>
  <si>
    <t>PWPY-3000L</t>
  </si>
  <si>
    <t>Whisper 100</t>
  </si>
  <si>
    <t>Whisper 200</t>
  </si>
  <si>
    <t>Whisper 500</t>
  </si>
  <si>
    <t>Kingspan KW3</t>
  </si>
  <si>
    <t>Kingspan KW15</t>
  </si>
  <si>
    <t>Kestrel e160i</t>
  </si>
  <si>
    <t>Kestrel e230i</t>
  </si>
  <si>
    <t>Kestrel e300i</t>
  </si>
  <si>
    <t>Kestrel e400n</t>
  </si>
  <si>
    <t>Black 300</t>
  </si>
  <si>
    <t>Black 600</t>
  </si>
  <si>
    <t>Black 2000</t>
  </si>
  <si>
    <t>Sacchi</t>
  </si>
  <si>
    <t>Denmark</t>
  </si>
  <si>
    <t>Mix of 543 Danish onshore wind turbines with power rating 90-110 kW</t>
  </si>
  <si>
    <t>Mix of 230 Danish onshore wind turbines with power rating 450-550 kW</t>
  </si>
  <si>
    <t>Mix of 370 Danish onshore wind turbines with power rating 900-1100 kW</t>
  </si>
  <si>
    <t>Mix of 154 Danish onshore wind turbines with power rating 1800-2200 kW</t>
  </si>
  <si>
    <t>Mix of 104 Danish offshore wind turbines with power rating 1800-2200 kW</t>
  </si>
  <si>
    <t>Lundie</t>
  </si>
  <si>
    <t>Germany</t>
  </si>
  <si>
    <t>Nock</t>
  </si>
  <si>
    <t>USA</t>
  </si>
  <si>
    <t>Velez-Henao</t>
  </si>
  <si>
    <t>Colombia</t>
  </si>
  <si>
    <t>Nordex N60/1300 kW</t>
  </si>
  <si>
    <t>Kumar</t>
  </si>
  <si>
    <t>Mix of turbines for US wind industry</t>
  </si>
  <si>
    <t>Minimum elec. generation</t>
  </si>
  <si>
    <t>Mean elec. generation</t>
  </si>
  <si>
    <t>Maximum elec. generation</t>
  </si>
  <si>
    <t>Talens Peiro</t>
  </si>
  <si>
    <t>EU</t>
  </si>
  <si>
    <t>DD-EESG</t>
  </si>
  <si>
    <t>DD-PMSG</t>
  </si>
  <si>
    <t>GB-PMSG</t>
  </si>
  <si>
    <t>GB-DFIG</t>
  </si>
  <si>
    <t>Maier</t>
  </si>
  <si>
    <t>Reduced technology matrix</t>
  </si>
  <si>
    <t>Angelakoglou</t>
  </si>
  <si>
    <t>Vargas</t>
  </si>
  <si>
    <t>Mexico</t>
  </si>
  <si>
    <t>Turbine A</t>
  </si>
  <si>
    <t>Turbine B</t>
  </si>
  <si>
    <t>Hong Kong</t>
  </si>
  <si>
    <t>Includes battery storage</t>
  </si>
  <si>
    <t>Scenario 1</t>
  </si>
  <si>
    <t>Scenario 2</t>
  </si>
  <si>
    <t>Scenario 3</t>
  </si>
  <si>
    <t>Scenario 4</t>
  </si>
  <si>
    <t>Scenario 5</t>
  </si>
  <si>
    <t>Scenario 6</t>
  </si>
  <si>
    <t>Huang</t>
  </si>
  <si>
    <t>Taiwan</t>
  </si>
  <si>
    <t>Vestas V80-2MW</t>
  </si>
  <si>
    <t>Scenario 1 - no offshore substation without recycling</t>
  </si>
  <si>
    <t>Scenario 1a - no offshore substation with recycling</t>
  </si>
  <si>
    <t>Scenario 2 - offshore substation without recycling</t>
  </si>
  <si>
    <t>Scenario 2a - offshore substation with recycling</t>
  </si>
  <si>
    <t>Gibon</t>
  </si>
  <si>
    <t>Mix of multiple multi-country regions</t>
  </si>
  <si>
    <t>Gravity-based concrete foundation</t>
  </si>
  <si>
    <t>Steel foundation</t>
  </si>
  <si>
    <t>Elginoz</t>
  </si>
  <si>
    <t>NREL 5MW - floating structure</t>
  </si>
  <si>
    <t>Each turbine includes three 1115 kW of wave energy generation. GWP impacts have been allocated based on the electricity output of the two systems: 87.6% wind, 12.4% wave</t>
  </si>
  <si>
    <t>Single-use platform</t>
  </si>
  <si>
    <t>Spain</t>
  </si>
  <si>
    <t>Gamesa G8X - 2MW</t>
  </si>
  <si>
    <t>Gamesa G80 - 2MW</t>
  </si>
  <si>
    <t>Repowering of wind farm with 37 Gamesa G47 - 660 kW turbines after 7 years of operation</t>
  </si>
  <si>
    <t>Gamesa G47 - 660 kW</t>
  </si>
  <si>
    <t>Assumes that capacity factor of site remains same before and after repowering</t>
  </si>
  <si>
    <t>Oebels</t>
  </si>
  <si>
    <t>Brazil</t>
  </si>
  <si>
    <t>MTCO</t>
  </si>
  <si>
    <t>Vestas V82 - 1.65MW</t>
  </si>
  <si>
    <t>Vestas V90 - 3MW</t>
  </si>
  <si>
    <t>Vestas V52 - 850kW</t>
  </si>
  <si>
    <t>Al-Behadili</t>
  </si>
  <si>
    <t>Libya</t>
  </si>
  <si>
    <t>Garcia-Teruel</t>
  </si>
  <si>
    <t>SWT-6.0-120</t>
  </si>
  <si>
    <t>Spar case</t>
  </si>
  <si>
    <t>v164-9.5</t>
  </si>
  <si>
    <t>Semi-sub case</t>
  </si>
  <si>
    <t>Xu</t>
  </si>
  <si>
    <t>18 Goldwind G77-1500kW and 30 Goldwind S50-750kW turbines</t>
  </si>
  <si>
    <t>Kabayo</t>
  </si>
  <si>
    <t>Portugal</t>
  </si>
  <si>
    <t>Jung</t>
  </si>
  <si>
    <t>R1</t>
  </si>
  <si>
    <t>R2</t>
  </si>
  <si>
    <t>Chile</t>
  </si>
  <si>
    <t>Tallaksen</t>
  </si>
  <si>
    <t>US</t>
  </si>
  <si>
    <t>Vestas V82-1.65MW</t>
  </si>
  <si>
    <t>Sweden</t>
  </si>
  <si>
    <t>Besseau</t>
  </si>
  <si>
    <t>Mix of Danish fleet</t>
  </si>
  <si>
    <t>H-Rotor 5 kW Darrieus vertical axis wind turbine</t>
  </si>
  <si>
    <t>Scenario A1 - no end-of-life</t>
  </si>
  <si>
    <t>Scenario A2 - no end-of-life</t>
  </si>
  <si>
    <t>Scenario A3 - no end-of-life</t>
  </si>
  <si>
    <t>Scenario B1 - end-of-life included</t>
  </si>
  <si>
    <t>Scenario B2 - end-of-life included</t>
  </si>
  <si>
    <t>Scenario B3 - end-of-life included</t>
  </si>
  <si>
    <t>Ortegon</t>
  </si>
  <si>
    <t>Alvarez</t>
  </si>
  <si>
    <t>Enercon E-70/2000kW, E-82/2300kW, E-92/2300kW</t>
  </si>
  <si>
    <t>Mix of Turkish fleet</t>
  </si>
  <si>
    <t>Stenzel</t>
  </si>
  <si>
    <t>MTC</t>
  </si>
  <si>
    <t>Enercon E44-900kW</t>
  </si>
  <si>
    <t>Baseline scenario</t>
  </si>
  <si>
    <t>Scenario S1: 5% curtailment, 30% recycling</t>
  </si>
  <si>
    <t>Scenario S2: 5% curtailment, 50% recycling</t>
  </si>
  <si>
    <t>Scenario S3: 5% curtailment, 90% recycling</t>
  </si>
  <si>
    <t>Scenario S4: 12% curtailment, 30% recycling</t>
  </si>
  <si>
    <t>Scenario S5: 12% curtailment, 50% recycling</t>
  </si>
  <si>
    <t>Scenario S6: 12% curtailment, 90% recycling</t>
  </si>
  <si>
    <t>Scenario S7: 24% curtailment, 30% recycling</t>
  </si>
  <si>
    <t>Scenario S8: 24% curtailment, 50% recycling</t>
  </si>
  <si>
    <t>Scenario S9: 24% curtailment, 90% recycling</t>
  </si>
  <si>
    <t>Eickelkamp</t>
  </si>
  <si>
    <t>6 RePower 5MW and 6 Areva Multibrid 5MW</t>
  </si>
  <si>
    <t>Excluding fixed assets</t>
  </si>
  <si>
    <t>Including fixed assets</t>
  </si>
  <si>
    <t>Mix of China's wind industry</t>
  </si>
  <si>
    <t>Mix</t>
  </si>
  <si>
    <t>Includes CO2 only</t>
  </si>
  <si>
    <t>Treyer</t>
  </si>
  <si>
    <t>UAE</t>
  </si>
  <si>
    <t>Enercon E-112 4.5MW</t>
  </si>
  <si>
    <t>Datang Zhaluteqi Wind Farm Project I</t>
  </si>
  <si>
    <t>Aso</t>
  </si>
  <si>
    <t>*M: manufacturing, T: transport, Ba: batteries; C: construction, G: grid connection, O: operation, D: decommision</t>
  </si>
  <si>
    <t>EROI (primary)</t>
  </si>
  <si>
    <t>Error EROI (primary)</t>
  </si>
  <si>
    <t>Ref</t>
  </si>
  <si>
    <t>Publication year</t>
  </si>
  <si>
    <t>Scope as stated</t>
  </si>
  <si>
    <t>Total capacity [kW]</t>
  </si>
  <si>
    <t>Gross energy requirement [MJ(p)]</t>
  </si>
  <si>
    <t>Error CED [kWh(p)/Wp]</t>
  </si>
  <si>
    <t>Capacity factor [%]</t>
  </si>
  <si>
    <t>CM</t>
  </si>
  <si>
    <t>N/A</t>
  </si>
  <si>
    <t>o</t>
  </si>
  <si>
    <t>CMO</t>
  </si>
  <si>
    <t xml:space="preserve">1980 </t>
  </si>
  <si>
    <t>CMT</t>
  </si>
  <si>
    <t>CMOT</t>
  </si>
  <si>
    <t xml:space="preserve">1984 </t>
  </si>
  <si>
    <t>(B)CDMOT</t>
  </si>
  <si>
    <t>Kenetech KVS-33</t>
  </si>
  <si>
    <t>onshore</t>
  </si>
  <si>
    <t>CGMOT</t>
  </si>
  <si>
    <t>3 blades</t>
  </si>
  <si>
    <t>3 blades; Enercon E-40</t>
  </si>
  <si>
    <t>BCDEGMOT</t>
  </si>
  <si>
    <t>DM(O)</t>
  </si>
  <si>
    <t>Belgium</t>
  </si>
  <si>
    <t>Zond Z-46</t>
  </si>
  <si>
    <t>c</t>
  </si>
  <si>
    <t>BCEMT</t>
  </si>
  <si>
    <t>2 blades</t>
  </si>
  <si>
    <t>offshore</t>
  </si>
  <si>
    <t>CDMO</t>
  </si>
  <si>
    <t>CDMOT</t>
  </si>
  <si>
    <t>CMT(O)</t>
  </si>
  <si>
    <t>Argentina</t>
  </si>
  <si>
    <t>CDGMOT</t>
  </si>
  <si>
    <t>Switzerland</t>
  </si>
  <si>
    <t>CGMT</t>
  </si>
  <si>
    <t>MO(D)</t>
  </si>
  <si>
    <t>M(O)</t>
  </si>
  <si>
    <t>GM</t>
  </si>
  <si>
    <t>2/3 blades</t>
  </si>
  <si>
    <t>MCTOD</t>
  </si>
  <si>
    <t>MCTO</t>
  </si>
  <si>
    <t>Enercon E-40</t>
  </si>
  <si>
    <t>India</t>
  </si>
  <si>
    <t xml:space="preserve"> E-66</t>
  </si>
  <si>
    <t>Enercon E-66</t>
  </si>
  <si>
    <t xml:space="preserve">Repower Systems AG </t>
  </si>
  <si>
    <t>Germany &amp; Brazil</t>
  </si>
  <si>
    <t xml:space="preserve"> 3-blades</t>
  </si>
  <si>
    <t>MCOTD</t>
  </si>
  <si>
    <t>TCO</t>
  </si>
  <si>
    <t>Table 1 Metadata analysis of wind power systems from Kubiszewski &amp; Cleveland (2009)</t>
  </si>
  <si>
    <t>Energy payback time [yrs]</t>
  </si>
  <si>
    <t>Installed capacity [MW]</t>
  </si>
  <si>
    <t>Year</t>
  </si>
  <si>
    <t>UN</t>
  </si>
  <si>
    <t>EIA</t>
  </si>
  <si>
    <t>Statista</t>
  </si>
  <si>
    <t>GWEC</t>
  </si>
  <si>
    <t>WEC</t>
  </si>
  <si>
    <t>WWEA</t>
  </si>
  <si>
    <t>MEAN</t>
  </si>
  <si>
    <t>STD DEV</t>
  </si>
  <si>
    <t>Growth rate [%]</t>
  </si>
  <si>
    <t>Nalukowe</t>
  </si>
  <si>
    <t>Lee</t>
  </si>
  <si>
    <t>Guezuraga</t>
  </si>
  <si>
    <t>Weinzettel</t>
  </si>
  <si>
    <t>Vestas</t>
  </si>
  <si>
    <t>Ardente</t>
  </si>
  <si>
    <t>Kabir</t>
  </si>
  <si>
    <t>Chen</t>
  </si>
  <si>
    <t>Yang</t>
  </si>
  <si>
    <t>PA-I/O</t>
  </si>
  <si>
    <t xml:space="preserve"> 3 blade</t>
  </si>
  <si>
    <t xml:space="preserve">V112 </t>
  </si>
  <si>
    <t xml:space="preserve">V-80 </t>
  </si>
  <si>
    <t xml:space="preserve">V-90 </t>
  </si>
  <si>
    <t>Tremeac</t>
  </si>
  <si>
    <t>France</t>
  </si>
  <si>
    <t xml:space="preserve">V100 </t>
  </si>
  <si>
    <t>Crawford</t>
  </si>
  <si>
    <t>Wagner</t>
  </si>
  <si>
    <t xml:space="preserve">6 RePower 5M and 6 Multibrid M5000 </t>
  </si>
  <si>
    <t>Khan</t>
  </si>
  <si>
    <t>Berry</t>
  </si>
  <si>
    <t>Chataignere</t>
  </si>
  <si>
    <t>Dolan</t>
  </si>
  <si>
    <t>Dones</t>
  </si>
  <si>
    <t>DONG Energy</t>
  </si>
  <si>
    <t>ENEL SpA</t>
  </si>
  <si>
    <t>Hartmann</t>
  </si>
  <si>
    <t>Hondo</t>
  </si>
  <si>
    <t>Jacobson</t>
  </si>
  <si>
    <t>Jungbluth</t>
  </si>
  <si>
    <t>Krewitt</t>
  </si>
  <si>
    <t>Kuemmel</t>
  </si>
  <si>
    <t>Lenzen</t>
  </si>
  <si>
    <t>Martínez</t>
  </si>
  <si>
    <t>McCulloch</t>
  </si>
  <si>
    <t>Mithraratne</t>
  </si>
  <si>
    <t>Nadal</t>
  </si>
  <si>
    <t>Pacca</t>
  </si>
  <si>
    <t>Pehnt</t>
  </si>
  <si>
    <t>Proops</t>
  </si>
  <si>
    <t>Rule</t>
  </si>
  <si>
    <t>Rydh</t>
  </si>
  <si>
    <t>Schleisner</t>
  </si>
  <si>
    <t>Spitzley</t>
  </si>
  <si>
    <t>Uchiyama</t>
  </si>
  <si>
    <t>van de Vate</t>
  </si>
  <si>
    <t>Voorspools</t>
  </si>
  <si>
    <t>Waters</t>
  </si>
  <si>
    <t>White</t>
  </si>
  <si>
    <t>Zimmerman</t>
  </si>
  <si>
    <t>ACARP</t>
  </si>
  <si>
    <t>Eur. Commission</t>
  </si>
  <si>
    <t>Kuemmel a</t>
  </si>
  <si>
    <t>Lee b</t>
  </si>
  <si>
    <t>Liberman c</t>
  </si>
  <si>
    <t>SECDA</t>
  </si>
  <si>
    <t>Vattenfall d</t>
  </si>
  <si>
    <t>Vattenfall e</t>
  </si>
  <si>
    <t>Voorspools f</t>
  </si>
  <si>
    <t>-</t>
  </si>
  <si>
    <t>mix</t>
  </si>
  <si>
    <t>Turbine power rating [kW]</t>
  </si>
  <si>
    <t>System</t>
  </si>
  <si>
    <t>CED [kWh(p)/Wp]</t>
  </si>
  <si>
    <t>M. TORESS (TWT 1.65/82), 3-bl</t>
  </si>
  <si>
    <t>Wind farm</t>
  </si>
  <si>
    <t>Theoretical turbine</t>
  </si>
  <si>
    <t>Cheng</t>
  </si>
  <si>
    <t>MCTGOD</t>
  </si>
  <si>
    <t>Demir</t>
  </si>
  <si>
    <t>MCT</t>
  </si>
  <si>
    <t>MTCBaO</t>
  </si>
  <si>
    <t>Air-X micro turbine</t>
  </si>
  <si>
    <t>Wind system for home use</t>
  </si>
  <si>
    <t>Micro-system</t>
  </si>
  <si>
    <t>1.8 MW-gearless</t>
  </si>
  <si>
    <t>2,0 MW-geared</t>
  </si>
  <si>
    <t>Endurance (EN) 5 kW</t>
  </si>
  <si>
    <t>Jacobs (JA) 20 kW</t>
  </si>
  <si>
    <t>Northern Power (NP) 100 kW</t>
  </si>
  <si>
    <t>Tsai</t>
  </si>
  <si>
    <t>Michigan</t>
  </si>
  <si>
    <t>Vestas V112 3.0 MW</t>
  </si>
  <si>
    <t>GBF</t>
  </si>
  <si>
    <t>Off (5 km)</t>
  </si>
  <si>
    <t>Monopile</t>
  </si>
  <si>
    <t>Off (10 km)</t>
  </si>
  <si>
    <t>Tripod</t>
  </si>
  <si>
    <t>Off (15 km)</t>
  </si>
  <si>
    <t>Off (20 km)</t>
  </si>
  <si>
    <t>Floating</t>
  </si>
  <si>
    <t>Off (30 km)</t>
  </si>
  <si>
    <t>Marimuthu</t>
  </si>
  <si>
    <t>MCGOD</t>
  </si>
  <si>
    <t>G8X Gamesa onshore wind turbine</t>
  </si>
  <si>
    <t>Matveev</t>
  </si>
  <si>
    <t>Russia</t>
  </si>
  <si>
    <t>WPI-5-4 24 blade turbine</t>
  </si>
  <si>
    <t>MCGO</t>
  </si>
  <si>
    <t>Vesta V82-1.65 MW</t>
  </si>
  <si>
    <t>Noori</t>
  </si>
  <si>
    <t>Vesta V80-2.0 MW</t>
  </si>
  <si>
    <t>Vesta V90-3.0 MW</t>
  </si>
  <si>
    <t>Radaal</t>
  </si>
  <si>
    <t>NREL 5MW</t>
  </si>
  <si>
    <t>OC4 Jacket</t>
  </si>
  <si>
    <t>SWAY</t>
  </si>
  <si>
    <t>Umaine Semi-S</t>
  </si>
  <si>
    <t>Umaine Spar</t>
  </si>
  <si>
    <t>Umaine TLP</t>
  </si>
  <si>
    <t>MIT TLB</t>
  </si>
  <si>
    <t>Norway</t>
  </si>
  <si>
    <t>Base scenario (solid rock foundation)</t>
  </si>
  <si>
    <t>Alternative foundation (gravitation)</t>
  </si>
  <si>
    <t>Steel production by CENTREL elec.</t>
  </si>
  <si>
    <t>Steel production by hydro-elec</t>
  </si>
  <si>
    <t>Base scenario (gravitron foundation)</t>
  </si>
  <si>
    <t>Rajaei</t>
  </si>
  <si>
    <t>MCTGO</t>
  </si>
  <si>
    <t xml:space="preserve">Vestas V90 turbine </t>
  </si>
  <si>
    <t>Thailand</t>
  </si>
  <si>
    <t>300 W vertical axis</t>
  </si>
  <si>
    <t>500 W horizontal axis</t>
  </si>
  <si>
    <t>1.5-kW Swift turbine</t>
  </si>
  <si>
    <t>MCD</t>
  </si>
  <si>
    <t>Europe</t>
  </si>
  <si>
    <t>Vestas V100-2.6MW</t>
  </si>
  <si>
    <t>Vestas V105-3.3MW</t>
  </si>
  <si>
    <t>Vestas V117-3.3 MW</t>
  </si>
  <si>
    <t>Vestas V126-3.3 MW</t>
  </si>
  <si>
    <t>Vestas V100-2.0 MW</t>
  </si>
  <si>
    <t>Vestas V112-3.3 MW</t>
  </si>
  <si>
    <t>Repower 5M and Multibrid M5000</t>
  </si>
  <si>
    <t>ENERCON E-82 E2</t>
  </si>
  <si>
    <t>Gamesa.</t>
  </si>
  <si>
    <t>Siemens.</t>
  </si>
  <si>
    <t>Vestas.</t>
  </si>
  <si>
    <t>Bonou</t>
  </si>
  <si>
    <t>Wernet,</t>
  </si>
  <si>
    <t>Razdan</t>
  </si>
  <si>
    <t>Haapala</t>
  </si>
  <si>
    <t>Raadal</t>
  </si>
  <si>
    <t>Reimers</t>
  </si>
  <si>
    <t>Wp</t>
  </si>
  <si>
    <t>Rashedi</t>
  </si>
  <si>
    <t>Arvesen</t>
  </si>
  <si>
    <t>Zhong</t>
  </si>
  <si>
    <t>Parsons</t>
  </si>
  <si>
    <t>Amor</t>
  </si>
  <si>
    <t>H</t>
  </si>
  <si>
    <t>On</t>
  </si>
  <si>
    <t>Off</t>
  </si>
  <si>
    <t>V</t>
  </si>
  <si>
    <t xml:space="preserve">   </t>
  </si>
  <si>
    <t>Chipindula</t>
  </si>
  <si>
    <t>shalow</t>
  </si>
  <si>
    <t>deep</t>
  </si>
  <si>
    <t>floating. SWAY (turbine 4.7 for all)</t>
  </si>
  <si>
    <t>floating. UMaine Semi-S</t>
  </si>
  <si>
    <t>floating. UMaine Spar</t>
  </si>
  <si>
    <t>floating. UMaine TLP</t>
  </si>
  <si>
    <t>floating. MIT TLB</t>
  </si>
  <si>
    <t>bottom fixed.OC4 Jacke</t>
  </si>
  <si>
    <t>bottom fixed</t>
  </si>
  <si>
    <t>floating</t>
  </si>
  <si>
    <t>monopile. cassion. tripod</t>
  </si>
  <si>
    <t>\cite{Lenzen2002}</t>
  </si>
  <si>
    <t>\cite{White1998}</t>
  </si>
  <si>
    <t>\cite{Brown2002}</t>
  </si>
  <si>
    <t>\cite{Ardente2008}</t>
  </si>
  <si>
    <t>\cite{Khan2005}</t>
  </si>
  <si>
    <t>\cite{Wagner2004}</t>
  </si>
  <si>
    <t>\cite{Tryfonidou2004}</t>
  </si>
  <si>
    <t>\cite{Hondo2005}</t>
  </si>
  <si>
    <t>\cite{Lenzen2004}</t>
  </si>
  <si>
    <t>\cite{Pehnt2006}</t>
  </si>
  <si>
    <t>\cite{Gagnon2002}</t>
  </si>
  <si>
    <t>Installed capacity wind [MW]</t>
  </si>
  <si>
    <t>Rotor diameter [m]</t>
  </si>
  <si>
    <t>Hub height [m]</t>
  </si>
  <si>
    <t>Operational/ conceptual</t>
  </si>
  <si>
    <t>Gross energy requirement [kWh(p)]</t>
  </si>
  <si>
    <t>Error gross energy requirement [MJ(p)]</t>
  </si>
  <si>
    <t>Error gross energy requirement [kWh(p)]</t>
  </si>
  <si>
    <t>Electricity conversion factor [%]</t>
  </si>
  <si>
    <t>Gross energy requirement [kWh(e)]</t>
  </si>
  <si>
    <t>Error gross energy requirement [kWh(e)]</t>
  </si>
  <si>
    <t>CED [kWh(e)/Wp]</t>
  </si>
  <si>
    <t>Error CED [kWh(e)/Wp]</t>
  </si>
  <si>
    <t>Annual electricity output [kWh(e)/yr]</t>
  </si>
  <si>
    <t>Error annual electricity output [kWh(e)/yr]</t>
  </si>
  <si>
    <t>Lifetime [yr]</t>
  </si>
  <si>
    <t>Total electricity output [kWh(e)]</t>
  </si>
  <si>
    <t>Specific electricity output [kWh(e)/MWp]</t>
  </si>
  <si>
    <t>Error energy intensity [MJ(p)/kWh(e)]</t>
  </si>
  <si>
    <t>Energy intensity [kWh(in-p)/kWh(out-e)]</t>
  </si>
  <si>
    <t>Error Energy intensity [kWh(in-p)/kWh(out-e)]</t>
  </si>
  <si>
    <t>Error CO2 intensity [g-CO2/kWh]</t>
  </si>
  <si>
    <t>CO2 intensity [gCO2-eq/kWh]</t>
  </si>
  <si>
    <t>GHG payback time [mths]</t>
  </si>
  <si>
    <t>Foundation/platform</t>
  </si>
  <si>
    <t>Meta-analysis_2022.xlsx</t>
  </si>
  <si>
    <t>Data - NREL (2014)</t>
  </si>
  <si>
    <t>\cite{WEC2004}</t>
  </si>
  <si>
    <t>\cite{White2006}</t>
  </si>
  <si>
    <t>\cite{White2000}</t>
  </si>
  <si>
    <t>\cite{Weinzettel2009}</t>
  </si>
  <si>
    <t>\cite{Waters1997}</t>
  </si>
  <si>
    <t>\cite{Voorspools f2000}</t>
  </si>
  <si>
    <t>\cite{Voorspools2000}</t>
  </si>
  <si>
    <t>\cite{Vestas2006b}</t>
  </si>
  <si>
    <t>\cite{Vestas2006a}</t>
  </si>
  <si>
    <t>\cite{Vattenfall e2010}</t>
  </si>
  <si>
    <t>\cite{Vattenfall d2003}</t>
  </si>
  <si>
    <t>\cite{van de Vate1996}</t>
  </si>
  <si>
    <t>\cite{Uchiyama1996}</t>
  </si>
  <si>
    <t>\cite{Tremeac2009}</t>
  </si>
  <si>
    <t>\cite{Spitzley2004}</t>
  </si>
  <si>
    <t>\cite{Schleisner2000}</t>
  </si>
  <si>
    <t>\cite{SECDA1994}</t>
  </si>
  <si>
    <t>\cite{Rydh2004}</t>
  </si>
  <si>
    <t>\cite{Rule2009}</t>
  </si>
  <si>
    <t>\cite{Proops1996}</t>
  </si>
  <si>
    <t>\cite{Pehnt2008}</t>
  </si>
  <si>
    <t>\cite{Pacca2003}</t>
  </si>
  <si>
    <t>\cite{Pacca2002}</t>
  </si>
  <si>
    <t>\cite{Nadal1995}</t>
  </si>
  <si>
    <t>\cite{McCulloch2000}</t>
  </si>
  <si>
    <t>\cite{Martínez2009}</t>
  </si>
  <si>
    <t>\cite{Liberman c2003}</t>
  </si>
  <si>
    <t>\cite{Lee b2008}</t>
  </si>
  <si>
    <t>\cite{Kuemmel1997}</t>
  </si>
  <si>
    <t>\cite{Kuemmel a1997}</t>
  </si>
  <si>
    <t>\cite{Krewitt1997}</t>
  </si>
  <si>
    <t>\cite{Jungbluth2005}</t>
  </si>
  <si>
    <t>\cite{Jacobson2009}</t>
  </si>
  <si>
    <t>\cite{Hartmann1997}</t>
  </si>
  <si>
    <t>\cite{Eur. Commission1995}</t>
  </si>
  <si>
    <t>\cite{ENEL SpA2004}</t>
  </si>
  <si>
    <t>\cite{DONG Energy2008}</t>
  </si>
  <si>
    <t>\cite{Dones2007}</t>
  </si>
  <si>
    <t>\cite{Dones2005}</t>
  </si>
  <si>
    <t>\cite{Dolan2007}</t>
  </si>
  <si>
    <t>\cite{Crawford2009}</t>
  </si>
  <si>
    <t>\cite{Chataignere2003}</t>
  </si>
  <si>
    <t>\cite{Berry1998}</t>
  </si>
  <si>
    <t>\cite{ACARP2001}</t>
  </si>
  <si>
    <t>Data - Mendecka (2019)</t>
  </si>
  <si>
    <t>\cite{Vestas.2004}</t>
  </si>
  <si>
    <t>\cite{Jungbluth2004}</t>
  </si>
  <si>
    <t>\cite{Vestas.2006}</t>
  </si>
  <si>
    <t>\cite{Amor2010}</t>
  </si>
  <si>
    <t>\cite{Parsons2011}</t>
  </si>
  <si>
    <t>\cite{Vestas.2011}</t>
  </si>
  <si>
    <t>\cite{Zhong2011}</t>
  </si>
  <si>
    <t>\cite{Wagner2011}</t>
  </si>
  <si>
    <t>\cite{Arvesen2011}</t>
  </si>
  <si>
    <t>\cite{Wang2012}</t>
  </si>
  <si>
    <t>\cite{Kabir2012}</t>
  </si>
  <si>
    <t>\cite{Guezuraga2012}</t>
  </si>
  <si>
    <t>\cite{Gamesa.2013}</t>
  </si>
  <si>
    <t>\cite{Vestas.2013}</t>
  </si>
  <si>
    <t>\cite{Rashedi2013}</t>
  </si>
  <si>
    <t>\cite{Oebels2013}</t>
  </si>
  <si>
    <t>\cite{Greening2013}</t>
  </si>
  <si>
    <t>\cite{Demir2013}</t>
  </si>
  <si>
    <t>\cite{Wp2014}</t>
  </si>
  <si>
    <t>\cite{Vestas.2014}</t>
  </si>
  <si>
    <t>\cite{Uddin2014}</t>
  </si>
  <si>
    <t>\cite{Reimers2014}</t>
  </si>
  <si>
    <t>\cite{Raadal2014}</t>
  </si>
  <si>
    <t>\cite{Haapala2014}</t>
  </si>
  <si>
    <t>\cite{Vestas.2015}</t>
  </si>
  <si>
    <t>\cite{Razdan2015}</t>
  </si>
  <si>
    <t>\cite{Martínez2015}</t>
  </si>
  <si>
    <t>\cite{Al-Behadili2015}</t>
  </si>
  <si>
    <t>\cite{Wernet,2016}</t>
  </si>
  <si>
    <t>\cite{Bonou2016}</t>
  </si>
  <si>
    <t>\cite{Gamesa.2017}</t>
  </si>
  <si>
    <t>\cite{Vestas.2017}</t>
  </si>
  <si>
    <t>\cite{Wang2017}</t>
  </si>
  <si>
    <t>\cite{Siddiqui2017}</t>
  </si>
  <si>
    <t>\cite{Lombardi2017}</t>
  </si>
  <si>
    <t>\cite{Huang2017}</t>
  </si>
  <si>
    <t>\cite{Siemens.2018}</t>
  </si>
  <si>
    <t>\cite{Gamesa.2018}</t>
  </si>
  <si>
    <t>\cite{Vestas.2018}</t>
  </si>
  <si>
    <t>\cite{Yang2018}</t>
  </si>
  <si>
    <t>\cite{Stanek2018}</t>
  </si>
  <si>
    <t>\cite{Ozoemena2018}</t>
  </si>
  <si>
    <t>\cite{Mendecka2018}</t>
  </si>
  <si>
    <t>\cite{Martínez2018}</t>
  </si>
  <si>
    <t>\cite{Chipindula2018}</t>
  </si>
  <si>
    <t>Data - Kubizweski (2010)</t>
  </si>
  <si>
    <t>Gagnon</t>
  </si>
  <si>
    <t>Repower Systems AG</t>
  </si>
  <si>
    <t>Tryfonidou</t>
  </si>
  <si>
    <t>Brown</t>
  </si>
  <si>
    <t>Data - Dale (2012)</t>
  </si>
  <si>
    <t>6 RePower 5M and 6 Multibrid M5000</t>
  </si>
  <si>
    <t>V100</t>
  </si>
  <si>
    <t>\cite{Vestas2011}</t>
  </si>
  <si>
    <t>\cite{Vestas2004}</t>
  </si>
  <si>
    <t>V-90</t>
  </si>
  <si>
    <t>V-80</t>
  </si>
  <si>
    <t>\cite{Vestas2006}</t>
  </si>
  <si>
    <t>V112</t>
  </si>
  <si>
    <t>\cite{Yang2011}</t>
  </si>
  <si>
    <t>\cite{Chen2011}</t>
  </si>
  <si>
    <t>\cite{Vestas2007}</t>
  </si>
  <si>
    <t>\cite{Martinez2009}</t>
  </si>
  <si>
    <t>\cite{Lee2008}</t>
  </si>
  <si>
    <t>\cite{Nalukowe2006}</t>
  </si>
  <si>
    <t>Data - Carbajales-Dale (2022)</t>
  </si>
  <si>
    <t>\cite{Aso2015}</t>
  </si>
  <si>
    <t>\cite{Zhao2017}</t>
  </si>
  <si>
    <t>\cite{Treyer2016}</t>
  </si>
  <si>
    <t>\cite{Wang2021}</t>
  </si>
  <si>
    <t>\cite{Eickelkamp2015}</t>
  </si>
  <si>
    <t>\cite{Li2020}</t>
  </si>
  <si>
    <t>\cite{Stenzel2017}</t>
  </si>
  <si>
    <t>\cite{Atilgan2016}</t>
  </si>
  <si>
    <t>\cite{Alvarez2015}</t>
  </si>
  <si>
    <t>\cite{Ortegon2013}</t>
  </si>
  <si>
    <t>\cite{Kouloumpis2020}</t>
  </si>
  <si>
    <t>\cite{Besseau2019}</t>
  </si>
  <si>
    <t>\cite{Tallaksen2015}</t>
  </si>
  <si>
    <t>\cite{Raugei2018}</t>
  </si>
  <si>
    <t>\cite{Jung2021}</t>
  </si>
  <si>
    <t>\cite{Kabayo2019}</t>
  </si>
  <si>
    <t>\cite{Wang2019}</t>
  </si>
  <si>
    <t>\cite{Xu2018}</t>
  </si>
  <si>
    <t>\cite{Garcia-Teruel2022}</t>
  </si>
  <si>
    <t>\cite{Martinez2018}</t>
  </si>
  <si>
    <t>\cite{Elginoz2017}</t>
  </si>
  <si>
    <t>\cite{Gibon2017}</t>
  </si>
  <si>
    <t>\cite{Li2021}</t>
  </si>
  <si>
    <t>\cite{Wang2016}</t>
  </si>
  <si>
    <t>\cite{Vargas2015}</t>
  </si>
  <si>
    <t>\cite{Ji2016}</t>
  </si>
  <si>
    <t>\cite{Angelakoglou2014}</t>
  </si>
  <si>
    <t>\cite{Maier2017}</t>
  </si>
  <si>
    <t>\cite{Talens Peiro2022}</t>
  </si>
  <si>
    <t>\cite{Kumar2015}</t>
  </si>
  <si>
    <t>\cite{Velez-Henao2021}</t>
  </si>
  <si>
    <t>\cite{Nock2019}</t>
  </si>
  <si>
    <t>\cite{Lundie2019}</t>
  </si>
  <si>
    <t>\cite{Sacchi2019}</t>
  </si>
  <si>
    <t>\cite{Cherif2016}</t>
  </si>
  <si>
    <t>\cite{Lombardi2018}</t>
  </si>
  <si>
    <t>\cite{Gao2019}</t>
  </si>
  <si>
    <t>\cite{Danthurebandara2018}</t>
  </si>
  <si>
    <t>\cite{Nagashima2015}</t>
  </si>
  <si>
    <t>\cite{Walmsley2017}</t>
  </si>
  <si>
    <t>\cite{Zhang2017}</t>
  </si>
  <si>
    <t>\cite{Simons2016}</t>
  </si>
  <si>
    <t>\cite{Aberilla2020}</t>
  </si>
  <si>
    <t>\cite{Gao2021}</t>
  </si>
  <si>
    <t>\cite{Ding2017}</t>
  </si>
  <si>
    <t>\cite{Schreiber2019}</t>
  </si>
  <si>
    <t>\cite{Smith2015}</t>
  </si>
  <si>
    <t>\cite{Fleck2009}</t>
  </si>
  <si>
    <t>\cite{Martinez2015}</t>
  </si>
  <si>
    <t>\cite{Wang2018}</t>
  </si>
  <si>
    <t>\cite{Liu2021}</t>
  </si>
  <si>
    <t>\cite{Xie2020}</t>
  </si>
  <si>
    <t>\cite{Ding2019}</t>
  </si>
  <si>
    <t>\cite{Savino2017}</t>
  </si>
  <si>
    <t>\cite{Kouloumpis2022}</t>
  </si>
  <si>
    <t>\cite{Xue2015}</t>
  </si>
  <si>
    <t>\cite{Ozoemena2016}</t>
  </si>
  <si>
    <t>\cite{Cao2016}</t>
  </si>
  <si>
    <t>\cite{Raugei2016}</t>
  </si>
  <si>
    <t>Data - Carbajales-Dale (2016)</t>
  </si>
  <si>
    <t>\cite{Zimmerman2011}</t>
  </si>
  <si>
    <t>\cite{Yang2013}</t>
  </si>
  <si>
    <t>\cite{Wagner2013}</t>
  </si>
  <si>
    <t>\cite{Vestas2015b}</t>
  </si>
  <si>
    <t>\cite{Vestas2015a}</t>
  </si>
  <si>
    <t>\cite{Vestas2014c}</t>
  </si>
  <si>
    <t>\cite{Vestas2014b}</t>
  </si>
  <si>
    <t>\cite{Vestas2014a}</t>
  </si>
  <si>
    <t>\cite{Vestas2013b}</t>
  </si>
  <si>
    <t>\cite{Vestas2013a}</t>
  </si>
  <si>
    <t>\cite{Mithraratne2009}</t>
  </si>
  <si>
    <t>Vestas V90 turbine</t>
  </si>
  <si>
    <t>\cite{Rajaei2013}</t>
  </si>
  <si>
    <t>\cite{Radaal2012}</t>
  </si>
  <si>
    <t>\cite{Noori2015}</t>
  </si>
  <si>
    <t>\cite{Matveev2015}</t>
  </si>
  <si>
    <t>\cite{Marimuthu2013}</t>
  </si>
  <si>
    <t>\cite{Tsai2013}</t>
  </si>
  <si>
    <t>\cite{Cheng2016}</t>
  </si>
  <si>
    <t>Error CO2 intensity (g-CO2/kWh)</t>
  </si>
  <si>
    <t>CO2 intensity (gCO2-eq/kWh)</t>
  </si>
  <si>
    <t>Error Energy intensity (kWh(in-p)/kWh(out-e))</t>
  </si>
  <si>
    <t>Energy intensity (kWh(in-p)/kWh(out-e))</t>
  </si>
  <si>
    <t>Error energy intensity (MJ(p)/kWh(e))</t>
  </si>
  <si>
    <t>Specific electricity output (kWh(e)/MWp)</t>
  </si>
  <si>
    <t>Total electricity output (kWh(e))</t>
  </si>
  <si>
    <t>Error annual electricity output (kWh(e)/yr)</t>
  </si>
  <si>
    <t>Annual electricity output (kWh(e)/yr)</t>
  </si>
  <si>
    <t>Error CED (kWh(e)/Wp)</t>
  </si>
  <si>
    <t>CED (kWh(e)/Wp)</t>
  </si>
  <si>
    <t>Error gross energy requirement (kWh(e))</t>
  </si>
  <si>
    <t>Gross energy requirement (kWh(e))</t>
  </si>
  <si>
    <t>Error gross energy requirement (kWh(p))</t>
  </si>
  <si>
    <t>Gross energy requirement (kWh(p))</t>
  </si>
  <si>
    <t>Error gross energy requirement (MJ(p))</t>
  </si>
  <si>
    <t>Installed capacity wind (MW)</t>
  </si>
  <si>
    <t>File Paths</t>
  </si>
  <si>
    <t>Table Names</t>
  </si>
  <si>
    <t>Electricity conversion factor (%)</t>
  </si>
  <si>
    <t>Error CED (kWh(p)/Wp)</t>
  </si>
  <si>
    <t>Gross energy requirement (MJ(p))</t>
  </si>
  <si>
    <t>Total capacity (kW)</t>
  </si>
  <si>
    <t>Capacity factor (%)</t>
  </si>
  <si>
    <t>Rotor diameter (m)</t>
  </si>
  <si>
    <t>Energy payback time (yrs)</t>
  </si>
  <si>
    <t>GHG payback time (mths)</t>
  </si>
  <si>
    <t>Energy intensity (MJ(p)/kWh(e))</t>
  </si>
  <si>
    <t>Lifetime (yr)</t>
  </si>
  <si>
    <t>Error CO2 emissions (kg CO2-eq/Wp)</t>
  </si>
  <si>
    <t>CO2 emissions (kg CO2-eq/Wp)</t>
  </si>
  <si>
    <t>Error total CO2 emissions (kg CO2-eq)</t>
  </si>
  <si>
    <t>Total CO2 emissions (kg CO2-eq)</t>
  </si>
  <si>
    <t>CED (kWh(p)/Wp)</t>
  </si>
  <si>
    <t>Error CED (MJ(p)/Wp)</t>
  </si>
  <si>
    <t>CED (MJ(p)/Wp)</t>
  </si>
  <si>
    <t>Hub height (m)</t>
  </si>
  <si>
    <t>Turbine power rating (kW)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</si>
</sst>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(* #,##0_);_(* \(#,##0\);_(* &quot;-&quot;??_);_(@_)"/>
    <numFmt numFmtId="165" formatCode="_(* #,##0_);_(* \(#,##0\);_(* &quot;-&quot;?_);_(@_)"/>
    <numFmt numFmtId="166" formatCode="_(* #,##0.0_);_(* \(#,##0.0\);_(* &quot;-&quot;?_);_(@_)"/>
    <numFmt numFmtId="167" formatCode="0.0%"/>
    <numFmt numFmtId="168" formatCode="_(* #,##0.0_);_(* \(#,##0.0\);_(* &quot;-&quot;??_);_(@_)"/>
    <numFmt numFmtId="169" formatCode="_(* #,##0.000_);_(* \(#,##0.000\);_(* &quot;-&quot;?_);_(@_)"/>
    <numFmt numFmtId="170" formatCode="0.000"/>
    <numFmt numFmtId="171" formatCode="_(* #,##0.00_);_(* \(#,##0.00\);_(* &quot;-&quot;?_);_(@_)"/>
  </numFmts>
  <fonts count="22"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dvPTimes"/>
    </font>
    <font>
      <sz val="12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dvPTimes"/>
    </font>
    <font>
      <b/>
      <sz val="9"/>
      <color indexed="81"/>
      <name val="Arial"/>
      <family val="2"/>
    </font>
    <font>
      <sz val="9"/>
      <color indexed="81"/>
      <name val="Arial"/>
      <family val="2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7558519241921"/>
      </right>
      <top/>
      <bottom/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243">
    <xf numFmtId="0" fontId="0" fillId="0" borderId="0" xfId="0"/>
    <xf numFmtId="0" fontId="3" fillId="0" borderId="0" xfId="2" applyFont="1" applyAlignment="1">
      <alignment horizontal="center" wrapText="1"/>
    </xf>
    <xf numFmtId="0" fontId="3" fillId="0" borderId="0" xfId="2" applyFont="1" applyAlignment="1">
      <alignment wrapText="1"/>
    </xf>
    <xf numFmtId="0" fontId="3" fillId="0" borderId="1" xfId="2" applyFont="1" applyBorder="1" applyAlignment="1">
      <alignment wrapText="1"/>
    </xf>
    <xf numFmtId="2" fontId="3" fillId="0" borderId="0" xfId="2" applyNumberFormat="1" applyFont="1" applyAlignment="1">
      <alignment wrapText="1"/>
    </xf>
    <xf numFmtId="0" fontId="3" fillId="0" borderId="1" xfId="2" applyFont="1" applyBorder="1" applyAlignment="1">
      <alignment horizontal="center" wrapText="1"/>
    </xf>
    <xf numFmtId="2" fontId="3" fillId="0" borderId="0" xfId="2" applyNumberFormat="1" applyFont="1"/>
    <xf numFmtId="0" fontId="3" fillId="0" borderId="0" xfId="0" applyFont="1" applyAlignment="1">
      <alignment wrapText="1"/>
    </xf>
    <xf numFmtId="0" fontId="3" fillId="0" borderId="0" xfId="5" applyFont="1" applyAlignment="1">
      <alignment wrapText="1"/>
    </xf>
    <xf numFmtId="2" fontId="3" fillId="0" borderId="1" xfId="5" applyNumberFormat="1" applyFont="1" applyBorder="1" applyAlignment="1">
      <alignment wrapText="1"/>
    </xf>
    <xf numFmtId="2" fontId="3" fillId="0" borderId="0" xfId="5" applyNumberFormat="1" applyFont="1" applyAlignment="1">
      <alignment wrapText="1"/>
    </xf>
    <xf numFmtId="0" fontId="3" fillId="0" borderId="0" xfId="5" applyFont="1"/>
    <xf numFmtId="1" fontId="3" fillId="0" borderId="0" xfId="2" applyNumberFormat="1" applyFont="1" applyAlignment="1">
      <alignment horizontal="center"/>
    </xf>
    <xf numFmtId="0" fontId="3" fillId="0" borderId="0" xfId="2" applyFont="1"/>
    <xf numFmtId="167" fontId="3" fillId="0" borderId="1" xfId="4" applyNumberFormat="1" applyFont="1" applyBorder="1" applyAlignment="1">
      <alignment wrapText="1"/>
    </xf>
    <xf numFmtId="2" fontId="3" fillId="0" borderId="0" xfId="2" applyNumberFormat="1" applyFont="1" applyAlignment="1">
      <alignment horizontal="center" wrapText="1"/>
    </xf>
    <xf numFmtId="0" fontId="3" fillId="0" borderId="1" xfId="5" applyFont="1" applyBorder="1" applyAlignment="1">
      <alignment wrapText="1"/>
    </xf>
    <xf numFmtId="0" fontId="5" fillId="0" borderId="0" xfId="0" applyFont="1"/>
    <xf numFmtId="0" fontId="3" fillId="0" borderId="1" xfId="2" applyFont="1" applyBorder="1"/>
    <xf numFmtId="164" fontId="3" fillId="0" borderId="0" xfId="2" applyNumberFormat="1" applyFont="1"/>
    <xf numFmtId="164" fontId="5" fillId="0" borderId="0" xfId="3" applyNumberFormat="1" applyFont="1"/>
    <xf numFmtId="0" fontId="3" fillId="0" borderId="1" xfId="2" applyFont="1" applyBorder="1" applyAlignment="1">
      <alignment horizontal="center"/>
    </xf>
    <xf numFmtId="164" fontId="5" fillId="0" borderId="1" xfId="3" applyNumberFormat="1" applyFont="1" applyBorder="1" applyAlignment="1">
      <alignment horizontal="right"/>
    </xf>
    <xf numFmtId="165" fontId="3" fillId="0" borderId="0" xfId="2" applyNumberFormat="1" applyFont="1"/>
    <xf numFmtId="166" fontId="3" fillId="0" borderId="0" xfId="2" applyNumberFormat="1" applyFont="1"/>
    <xf numFmtId="43" fontId="3" fillId="0" borderId="0" xfId="2" applyNumberFormat="1" applyFont="1"/>
    <xf numFmtId="164" fontId="3" fillId="0" borderId="1" xfId="2" applyNumberFormat="1" applyFont="1" applyBorder="1"/>
    <xf numFmtId="167" fontId="5" fillId="0" borderId="1" xfId="4" applyNumberFormat="1" applyFont="1" applyBorder="1"/>
    <xf numFmtId="167" fontId="5" fillId="0" borderId="0" xfId="4" applyNumberFormat="1" applyFont="1"/>
    <xf numFmtId="43" fontId="3" fillId="0" borderId="1" xfId="2" applyNumberFormat="1" applyFont="1" applyBorder="1"/>
    <xf numFmtId="9" fontId="5" fillId="0" borderId="1" xfId="4" applyFont="1" applyBorder="1"/>
    <xf numFmtId="9" fontId="5" fillId="0" borderId="0" xfId="4" applyFont="1"/>
    <xf numFmtId="164" fontId="5" fillId="0" borderId="1" xfId="3" applyNumberFormat="1" applyFont="1" applyBorder="1"/>
    <xf numFmtId="43" fontId="5" fillId="0" borderId="0" xfId="3" applyFont="1"/>
    <xf numFmtId="165" fontId="3" fillId="0" borderId="1" xfId="2" applyNumberFormat="1" applyFont="1" applyBorder="1"/>
    <xf numFmtId="0" fontId="5" fillId="2" borderId="0" xfId="1" applyFont="1"/>
    <xf numFmtId="0" fontId="5" fillId="2" borderId="1" xfId="1" applyFont="1" applyBorder="1"/>
    <xf numFmtId="164" fontId="5" fillId="2" borderId="0" xfId="1" applyNumberFormat="1" applyFont="1"/>
    <xf numFmtId="0" fontId="5" fillId="2" borderId="1" xfId="1" applyFont="1" applyBorder="1" applyAlignment="1">
      <alignment horizontal="center"/>
    </xf>
    <xf numFmtId="164" fontId="5" fillId="2" borderId="1" xfId="1" applyNumberFormat="1" applyFont="1" applyBorder="1" applyAlignment="1">
      <alignment horizontal="right"/>
    </xf>
    <xf numFmtId="165" fontId="5" fillId="2" borderId="0" xfId="1" applyNumberFormat="1" applyFont="1"/>
    <xf numFmtId="43" fontId="5" fillId="2" borderId="0" xfId="1" applyNumberFormat="1" applyFont="1"/>
    <xf numFmtId="164" fontId="5" fillId="2" borderId="1" xfId="1" applyNumberFormat="1" applyFont="1" applyBorder="1"/>
    <xf numFmtId="167" fontId="5" fillId="2" borderId="1" xfId="1" applyNumberFormat="1" applyFont="1" applyBorder="1"/>
    <xf numFmtId="9" fontId="5" fillId="2" borderId="0" xfId="1" applyNumberFormat="1" applyFont="1"/>
    <xf numFmtId="2" fontId="5" fillId="2" borderId="0" xfId="1" applyNumberFormat="1" applyFont="1"/>
    <xf numFmtId="43" fontId="5" fillId="2" borderId="1" xfId="1" applyNumberFormat="1" applyFont="1" applyBorder="1"/>
    <xf numFmtId="168" fontId="3" fillId="0" borderId="0" xfId="2" applyNumberFormat="1" applyFont="1"/>
    <xf numFmtId="168" fontId="5" fillId="0" borderId="0" xfId="3" applyNumberFormat="1" applyFont="1"/>
    <xf numFmtId="2" fontId="3" fillId="0" borderId="1" xfId="2" applyNumberFormat="1" applyFont="1" applyBorder="1"/>
    <xf numFmtId="169" fontId="3" fillId="0" borderId="0" xfId="2" applyNumberFormat="1" applyFont="1"/>
    <xf numFmtId="164" fontId="3" fillId="0" borderId="0" xfId="3" applyNumberFormat="1" applyFont="1" applyBorder="1"/>
    <xf numFmtId="0" fontId="3" fillId="0" borderId="2" xfId="2" applyFont="1" applyBorder="1"/>
    <xf numFmtId="164" fontId="5" fillId="0" borderId="0" xfId="3" applyNumberFormat="1" applyFont="1" applyBorder="1" applyAlignment="1">
      <alignment horizontal="right"/>
    </xf>
    <xf numFmtId="43" fontId="3" fillId="0" borderId="1" xfId="2" applyNumberFormat="1" applyFont="1" applyBorder="1" applyAlignment="1">
      <alignment horizontal="left" indent="1"/>
    </xf>
    <xf numFmtId="0" fontId="5" fillId="2" borderId="2" xfId="1" applyFont="1" applyBorder="1"/>
    <xf numFmtId="166" fontId="5" fillId="2" borderId="0" xfId="1" applyNumberFormat="1" applyFont="1"/>
    <xf numFmtId="164" fontId="3" fillId="0" borderId="1" xfId="3" applyNumberFormat="1" applyFont="1" applyBorder="1" applyAlignment="1">
      <alignment horizontal="right"/>
    </xf>
    <xf numFmtId="164" fontId="3" fillId="0" borderId="0" xfId="3" applyNumberFormat="1" applyFont="1" applyBorder="1" applyAlignment="1">
      <alignment horizontal="right"/>
    </xf>
    <xf numFmtId="0" fontId="5" fillId="0" borderId="3" xfId="0" applyFont="1" applyBorder="1"/>
    <xf numFmtId="0" fontId="3" fillId="0" borderId="3" xfId="2" applyFont="1" applyBorder="1"/>
    <xf numFmtId="0" fontId="3" fillId="0" borderId="4" xfId="2" applyFont="1" applyBorder="1"/>
    <xf numFmtId="164" fontId="3" fillId="0" borderId="3" xfId="2" applyNumberFormat="1" applyFont="1" applyBorder="1"/>
    <xf numFmtId="0" fontId="3" fillId="0" borderId="4" xfId="2" applyFont="1" applyBorder="1" applyAlignment="1">
      <alignment horizontal="center"/>
    </xf>
    <xf numFmtId="0" fontId="3" fillId="0" borderId="5" xfId="2" applyFont="1" applyBorder="1"/>
    <xf numFmtId="164" fontId="5" fillId="0" borderId="4" xfId="3" applyNumberFormat="1" applyFont="1" applyBorder="1" applyAlignment="1">
      <alignment horizontal="right"/>
    </xf>
    <xf numFmtId="164" fontId="3" fillId="0" borderId="3" xfId="3" applyNumberFormat="1" applyFont="1" applyBorder="1" applyAlignment="1">
      <alignment horizontal="right"/>
    </xf>
    <xf numFmtId="2" fontId="3" fillId="0" borderId="3" xfId="2" applyNumberFormat="1" applyFont="1" applyBorder="1"/>
    <xf numFmtId="43" fontId="3" fillId="0" borderId="3" xfId="2" applyNumberFormat="1" applyFont="1" applyBorder="1"/>
    <xf numFmtId="164" fontId="5" fillId="0" borderId="4" xfId="3" applyNumberFormat="1" applyFont="1" applyBorder="1"/>
    <xf numFmtId="167" fontId="5" fillId="0" borderId="4" xfId="4" applyNumberFormat="1" applyFont="1" applyBorder="1"/>
    <xf numFmtId="164" fontId="5" fillId="0" borderId="3" xfId="3" applyNumberFormat="1" applyFont="1" applyBorder="1"/>
    <xf numFmtId="9" fontId="5" fillId="0" borderId="3" xfId="4" applyFont="1" applyBorder="1"/>
    <xf numFmtId="43" fontId="3" fillId="0" borderId="4" xfId="2" applyNumberFormat="1" applyFont="1" applyBorder="1"/>
    <xf numFmtId="170" fontId="3" fillId="0" borderId="0" xfId="2" applyNumberFormat="1" applyFont="1"/>
    <xf numFmtId="164" fontId="5" fillId="0" borderId="1" xfId="1" applyNumberFormat="1" applyFont="1" applyFill="1" applyBorder="1" applyAlignment="1">
      <alignment horizontal="right"/>
    </xf>
    <xf numFmtId="9" fontId="5" fillId="0" borderId="1" xfId="4" applyFont="1" applyFill="1" applyBorder="1"/>
    <xf numFmtId="9" fontId="5" fillId="0" borderId="0" xfId="4" applyFont="1" applyFill="1"/>
    <xf numFmtId="164" fontId="5" fillId="0" borderId="0" xfId="3" applyNumberFormat="1" applyFont="1" applyFill="1"/>
    <xf numFmtId="164" fontId="5" fillId="0" borderId="1" xfId="3" applyNumberFormat="1" applyFont="1" applyFill="1" applyBorder="1" applyAlignment="1">
      <alignment horizontal="right"/>
    </xf>
    <xf numFmtId="0" fontId="6" fillId="0" borderId="1" xfId="2" applyFont="1" applyBorder="1" applyAlignment="1">
      <alignment horizontal="center"/>
    </xf>
    <xf numFmtId="0" fontId="5" fillId="0" borderId="0" xfId="1" applyFont="1" applyFill="1"/>
    <xf numFmtId="0" fontId="5" fillId="0" borderId="1" xfId="1" applyFont="1" applyFill="1" applyBorder="1"/>
    <xf numFmtId="0" fontId="5" fillId="0" borderId="1" xfId="1" applyFont="1" applyFill="1" applyBorder="1" applyAlignment="1">
      <alignment horizontal="center"/>
    </xf>
    <xf numFmtId="43" fontId="5" fillId="0" borderId="0" xfId="1" applyNumberFormat="1" applyFont="1" applyFill="1"/>
    <xf numFmtId="9" fontId="5" fillId="0" borderId="1" xfId="1" applyNumberFormat="1" applyFont="1" applyFill="1" applyBorder="1"/>
    <xf numFmtId="9" fontId="5" fillId="0" borderId="0" xfId="1" applyNumberFormat="1" applyFont="1" applyFill="1"/>
    <xf numFmtId="164" fontId="5" fillId="0" borderId="0" xfId="1" applyNumberFormat="1" applyFont="1" applyFill="1"/>
    <xf numFmtId="170" fontId="5" fillId="0" borderId="0" xfId="1" applyNumberFormat="1" applyFont="1" applyFill="1"/>
    <xf numFmtId="0" fontId="9" fillId="0" borderId="0" xfId="9" applyFont="1"/>
    <xf numFmtId="0" fontId="8" fillId="0" borderId="0" xfId="9"/>
    <xf numFmtId="164" fontId="8" fillId="0" borderId="0" xfId="3" applyNumberFormat="1" applyFont="1"/>
    <xf numFmtId="164" fontId="9" fillId="0" borderId="0" xfId="3" applyNumberFormat="1" applyFont="1"/>
    <xf numFmtId="9" fontId="0" fillId="0" borderId="0" xfId="10" applyFont="1"/>
    <xf numFmtId="0" fontId="3" fillId="0" borderId="2" xfId="2" applyFont="1" applyBorder="1" applyAlignment="1">
      <alignment wrapText="1"/>
    </xf>
    <xf numFmtId="0" fontId="2" fillId="0" borderId="0" xfId="2"/>
    <xf numFmtId="0" fontId="14" fillId="0" borderId="2" xfId="2" applyFont="1" applyBorder="1"/>
    <xf numFmtId="0" fontId="15" fillId="0" borderId="0" xfId="2" applyFont="1"/>
    <xf numFmtId="2" fontId="2" fillId="0" borderId="0" xfId="2" applyNumberFormat="1"/>
    <xf numFmtId="2" fontId="14" fillId="0" borderId="2" xfId="2" applyNumberFormat="1" applyFont="1" applyBorder="1"/>
    <xf numFmtId="0" fontId="2" fillId="0" borderId="2" xfId="2" applyBorder="1" applyAlignment="1">
      <alignment wrapText="1"/>
    </xf>
    <xf numFmtId="0" fontId="2" fillId="0" borderId="2" xfId="2" applyBorder="1"/>
    <xf numFmtId="170" fontId="2" fillId="0" borderId="0" xfId="2" applyNumberFormat="1"/>
    <xf numFmtId="2" fontId="5" fillId="0" borderId="0" xfId="8" applyNumberFormat="1" applyFont="1"/>
    <xf numFmtId="0" fontId="1" fillId="2" borderId="0" xfId="1"/>
    <xf numFmtId="0" fontId="1" fillId="2" borderId="2" xfId="1" applyBorder="1"/>
    <xf numFmtId="0" fontId="1" fillId="2" borderId="0" xfId="1" applyBorder="1"/>
    <xf numFmtId="0" fontId="16" fillId="0" borderId="0" xfId="0" applyFont="1"/>
    <xf numFmtId="0" fontId="0" fillId="0" borderId="2" xfId="0" applyBorder="1"/>
    <xf numFmtId="11" fontId="3" fillId="0" borderId="0" xfId="2" applyNumberFormat="1" applyFont="1"/>
    <xf numFmtId="167" fontId="3" fillId="0" borderId="0" xfId="2" applyNumberFormat="1" applyFont="1"/>
    <xf numFmtId="11" fontId="3" fillId="0" borderId="2" xfId="2" applyNumberFormat="1" applyFont="1" applyBorder="1"/>
    <xf numFmtId="2" fontId="3" fillId="0" borderId="2" xfId="2" applyNumberFormat="1" applyFont="1" applyBorder="1"/>
    <xf numFmtId="11" fontId="3" fillId="0" borderId="2" xfId="2" applyNumberFormat="1" applyFont="1" applyBorder="1" applyAlignment="1">
      <alignment wrapText="1"/>
    </xf>
    <xf numFmtId="11" fontId="3" fillId="0" borderId="0" xfId="2" applyNumberFormat="1" applyFont="1" applyAlignment="1">
      <alignment wrapText="1"/>
    </xf>
    <xf numFmtId="0" fontId="5" fillId="0" borderId="2" xfId="8" applyFont="1" applyFill="1" applyBorder="1" applyAlignment="1">
      <alignment wrapText="1"/>
    </xf>
    <xf numFmtId="0" fontId="5" fillId="0" borderId="0" xfId="8" applyFont="1" applyFill="1" applyAlignment="1">
      <alignment wrapText="1"/>
    </xf>
    <xf numFmtId="0" fontId="5" fillId="3" borderId="0" xfId="8" applyFont="1" applyFill="1"/>
    <xf numFmtId="0" fontId="5" fillId="3" borderId="1" xfId="8" applyFont="1" applyFill="1" applyBorder="1"/>
    <xf numFmtId="0" fontId="5" fillId="3" borderId="2" xfId="8" applyFont="1" applyFill="1" applyBorder="1"/>
    <xf numFmtId="0" fontId="5" fillId="3" borderId="0" xfId="8" applyFont="1" applyFill="1" applyAlignment="1">
      <alignment wrapText="1"/>
    </xf>
    <xf numFmtId="2" fontId="5" fillId="3" borderId="0" xfId="8" applyNumberFormat="1" applyFont="1" applyFill="1"/>
    <xf numFmtId="167" fontId="5" fillId="3" borderId="0" xfId="8" applyNumberFormat="1" applyFont="1" applyFill="1"/>
    <xf numFmtId="11" fontId="3" fillId="0" borderId="1" xfId="2" applyNumberFormat="1" applyFont="1" applyBorder="1"/>
    <xf numFmtId="1" fontId="3" fillId="0" borderId="0" xfId="2" applyNumberFormat="1" applyFont="1"/>
    <xf numFmtId="1" fontId="3" fillId="0" borderId="2" xfId="2" applyNumberFormat="1" applyFont="1" applyBorder="1"/>
    <xf numFmtId="0" fontId="5" fillId="0" borderId="2" xfId="1" applyFont="1" applyFill="1" applyBorder="1" applyAlignment="1">
      <alignment wrapText="1"/>
    </xf>
    <xf numFmtId="0" fontId="5" fillId="0" borderId="0" xfId="1" applyFont="1" applyFill="1" applyAlignment="1">
      <alignment wrapText="1"/>
    </xf>
    <xf numFmtId="0" fontId="3" fillId="3" borderId="0" xfId="2" applyFont="1" applyFill="1" applyAlignment="1">
      <alignment wrapText="1"/>
    </xf>
    <xf numFmtId="0" fontId="3" fillId="3" borderId="0" xfId="2" applyFont="1" applyFill="1"/>
    <xf numFmtId="0" fontId="3" fillId="3" borderId="1" xfId="2" applyFont="1" applyFill="1" applyBorder="1"/>
    <xf numFmtId="0" fontId="3" fillId="3" borderId="2" xfId="2" applyFont="1" applyFill="1" applyBorder="1"/>
    <xf numFmtId="2" fontId="3" fillId="3" borderId="0" xfId="2" applyNumberFormat="1" applyFont="1" applyFill="1"/>
    <xf numFmtId="167" fontId="3" fillId="3" borderId="0" xfId="2" applyNumberFormat="1" applyFont="1" applyFill="1"/>
    <xf numFmtId="0" fontId="5" fillId="0" borderId="0" xfId="8" applyFont="1" applyAlignment="1">
      <alignment wrapText="1"/>
    </xf>
    <xf numFmtId="0" fontId="5" fillId="0" borderId="0" xfId="8" applyNumberFormat="1" applyFont="1"/>
    <xf numFmtId="0" fontId="5" fillId="0" borderId="0" xfId="8" applyFont="1"/>
    <xf numFmtId="0" fontId="5" fillId="0" borderId="1" xfId="8" applyFont="1" applyBorder="1"/>
    <xf numFmtId="0" fontId="5" fillId="0" borderId="2" xfId="8" applyFont="1" applyBorder="1"/>
    <xf numFmtId="167" fontId="5" fillId="0" borderId="0" xfId="8" applyNumberFormat="1" applyFont="1"/>
    <xf numFmtId="0" fontId="3" fillId="3" borderId="1" xfId="2" applyFont="1" applyFill="1" applyBorder="1" applyAlignment="1">
      <alignment wrapText="1"/>
    </xf>
    <xf numFmtId="0" fontId="3" fillId="3" borderId="2" xfId="2" applyFont="1" applyFill="1" applyBorder="1" applyAlignment="1">
      <alignment wrapText="1"/>
    </xf>
    <xf numFmtId="11" fontId="5" fillId="0" borderId="0" xfId="8" applyNumberFormat="1" applyFont="1" applyBorder="1"/>
    <xf numFmtId="11" fontId="5" fillId="3" borderId="0" xfId="8" applyNumberFormat="1" applyFont="1" applyFill="1" applyBorder="1"/>
    <xf numFmtId="0" fontId="5" fillId="2" borderId="0" xfId="1" applyFont="1" applyAlignment="1">
      <alignment wrapText="1"/>
    </xf>
    <xf numFmtId="0" fontId="5" fillId="2" borderId="0" xfId="1" applyNumberFormat="1" applyFont="1"/>
    <xf numFmtId="0" fontId="5" fillId="2" borderId="0" xfId="1" applyFont="1" applyBorder="1"/>
    <xf numFmtId="0" fontId="5" fillId="2" borderId="3" xfId="1" applyFont="1" applyBorder="1" applyAlignment="1">
      <alignment wrapText="1"/>
    </xf>
    <xf numFmtId="0" fontId="5" fillId="2" borderId="3" xfId="1" applyNumberFormat="1" applyFont="1" applyBorder="1"/>
    <xf numFmtId="0" fontId="5" fillId="2" borderId="3" xfId="1" applyFont="1" applyBorder="1"/>
    <xf numFmtId="0" fontId="5" fillId="2" borderId="4" xfId="1" applyFont="1" applyBorder="1"/>
    <xf numFmtId="0" fontId="5" fillId="2" borderId="5" xfId="1" applyFont="1" applyBorder="1"/>
    <xf numFmtId="2" fontId="5" fillId="2" borderId="3" xfId="1" applyNumberFormat="1" applyFont="1" applyBorder="1"/>
    <xf numFmtId="0" fontId="3" fillId="0" borderId="5" xfId="2" applyFont="1" applyBorder="1" applyAlignment="1">
      <alignment wrapText="1"/>
    </xf>
    <xf numFmtId="0" fontId="3" fillId="0" borderId="3" xfId="2" applyFont="1" applyBorder="1" applyAlignment="1">
      <alignment wrapText="1"/>
    </xf>
    <xf numFmtId="1" fontId="3" fillId="0" borderId="2" xfId="2" applyNumberFormat="1" applyFont="1" applyBorder="1" applyAlignment="1">
      <alignment horizontal="center"/>
    </xf>
    <xf numFmtId="0" fontId="16" fillId="0" borderId="0" xfId="0" applyFont="1" applyFill="1"/>
    <xf numFmtId="0" fontId="0" fillId="0" borderId="0" xfId="0" applyFill="1"/>
    <xf numFmtId="0" fontId="3" fillId="0" borderId="0" xfId="2" applyFont="1" applyFill="1"/>
    <xf numFmtId="1" fontId="3" fillId="0" borderId="2" xfId="2" applyNumberFormat="1" applyFont="1" applyFill="1" applyBorder="1" applyAlignment="1">
      <alignment horizontal="center"/>
    </xf>
    <xf numFmtId="0" fontId="16" fillId="0" borderId="0" xfId="0" applyFont="1" applyFill="1" applyAlignment="1">
      <alignment vertical="top"/>
    </xf>
    <xf numFmtId="0" fontId="17" fillId="0" borderId="0" xfId="0" applyFont="1" applyFill="1"/>
    <xf numFmtId="0" fontId="0" fillId="0" borderId="3" xfId="0" applyBorder="1"/>
    <xf numFmtId="1" fontId="3" fillId="0" borderId="5" xfId="2" applyNumberFormat="1" applyFont="1" applyBorder="1" applyAlignment="1">
      <alignment horizontal="center"/>
    </xf>
    <xf numFmtId="167" fontId="0" fillId="0" borderId="0" xfId="7" applyNumberFormat="1" applyFont="1"/>
    <xf numFmtId="167" fontId="0" fillId="0" borderId="3" xfId="7" applyNumberFormat="1" applyFont="1" applyBorder="1"/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top"/>
    </xf>
    <xf numFmtId="43" fontId="0" fillId="0" borderId="0" xfId="6" applyFont="1"/>
    <xf numFmtId="168" fontId="0" fillId="0" borderId="0" xfId="6" applyNumberFormat="1" applyFont="1"/>
    <xf numFmtId="164" fontId="0" fillId="0" borderId="0" xfId="6" applyNumberFormat="1" applyFont="1"/>
    <xf numFmtId="165" fontId="0" fillId="0" borderId="0" xfId="0" applyNumberFormat="1"/>
    <xf numFmtId="164" fontId="0" fillId="0" borderId="0" xfId="3" applyNumberFormat="1" applyFont="1"/>
    <xf numFmtId="164" fontId="0" fillId="0" borderId="2" xfId="3" applyNumberFormat="1" applyFont="1" applyBorder="1"/>
    <xf numFmtId="165" fontId="2" fillId="0" borderId="0" xfId="2" applyNumberFormat="1"/>
    <xf numFmtId="43" fontId="0" fillId="0" borderId="0" xfId="3" applyFont="1"/>
    <xf numFmtId="167" fontId="0" fillId="0" borderId="0" xfId="4" applyNumberFormat="1" applyFont="1"/>
    <xf numFmtId="9" fontId="0" fillId="0" borderId="0" xfId="4" applyFont="1"/>
    <xf numFmtId="2" fontId="2" fillId="0" borderId="2" xfId="2" applyNumberFormat="1" applyBorder="1"/>
    <xf numFmtId="168" fontId="0" fillId="0" borderId="0" xfId="3" applyNumberFormat="1" applyFont="1"/>
    <xf numFmtId="0" fontId="15" fillId="0" borderId="2" xfId="2" applyFont="1" applyBorder="1"/>
    <xf numFmtId="0" fontId="18" fillId="0" borderId="0" xfId="2" applyFont="1"/>
    <xf numFmtId="164" fontId="1" fillId="2" borderId="0" xfId="1" applyNumberFormat="1"/>
    <xf numFmtId="9" fontId="1" fillId="2" borderId="0" xfId="1" applyNumberFormat="1"/>
    <xf numFmtId="170" fontId="1" fillId="2" borderId="0" xfId="1" applyNumberFormat="1"/>
    <xf numFmtId="1" fontId="3" fillId="0" borderId="2" xfId="0" applyNumberFormat="1" applyFont="1" applyBorder="1" applyAlignment="1">
      <alignment horizontal="center"/>
    </xf>
    <xf numFmtId="0" fontId="0" fillId="0" borderId="5" xfId="0" applyBorder="1"/>
    <xf numFmtId="164" fontId="0" fillId="0" borderId="3" xfId="6" applyNumberFormat="1" applyFont="1" applyBorder="1"/>
    <xf numFmtId="164" fontId="0" fillId="0" borderId="2" xfId="0" applyNumberFormat="1" applyBorder="1"/>
    <xf numFmtId="164" fontId="0" fillId="0" borderId="5" xfId="0" applyNumberFormat="1" applyBorder="1"/>
    <xf numFmtId="165" fontId="0" fillId="0" borderId="3" xfId="0" applyNumberFormat="1" applyBorder="1"/>
    <xf numFmtId="43" fontId="0" fillId="0" borderId="0" xfId="6" applyNumberFormat="1" applyFont="1"/>
    <xf numFmtId="168" fontId="0" fillId="0" borderId="2" xfId="0" applyNumberFormat="1" applyBorder="1"/>
    <xf numFmtId="43" fontId="0" fillId="0" borderId="2" xfId="0" applyNumberFormat="1" applyBorder="1"/>
    <xf numFmtId="166" fontId="0" fillId="0" borderId="0" xfId="0" applyNumberFormat="1"/>
    <xf numFmtId="171" fontId="0" fillId="0" borderId="0" xfId="0" applyNumberFormat="1"/>
    <xf numFmtId="0" fontId="0" fillId="0" borderId="0" xfId="0" applyNumberFormat="1"/>
    <xf numFmtId="166" fontId="0" fillId="0" borderId="3" xfId="0" applyNumberFormat="1" applyBorder="1"/>
    <xf numFmtId="171" fontId="0" fillId="0" borderId="3" xfId="0" applyNumberFormat="1" applyBorder="1"/>
    <xf numFmtId="165" fontId="0" fillId="0" borderId="2" xfId="0" applyNumberFormat="1" applyBorder="1"/>
    <xf numFmtId="165" fontId="0" fillId="0" borderId="5" xfId="0" applyNumberFormat="1" applyBorder="1"/>
    <xf numFmtId="171" fontId="0" fillId="0" borderId="4" xfId="0" applyNumberFormat="1" applyBorder="1"/>
    <xf numFmtId="171" fontId="0" fillId="0" borderId="0" xfId="0" applyNumberFormat="1" applyBorder="1"/>
    <xf numFmtId="43" fontId="3" fillId="0" borderId="0" xfId="6" applyFont="1" applyAlignment="1">
      <alignment wrapText="1"/>
    </xf>
    <xf numFmtId="168" fontId="3" fillId="0" borderId="0" xfId="6" applyNumberFormat="1" applyFont="1" applyAlignment="1">
      <alignment wrapText="1"/>
    </xf>
    <xf numFmtId="164" fontId="3" fillId="0" borderId="0" xfId="6" applyNumberFormat="1" applyFont="1" applyAlignment="1">
      <alignment wrapText="1"/>
    </xf>
    <xf numFmtId="164" fontId="3" fillId="0" borderId="0" xfId="2" applyNumberFormat="1" applyFont="1" applyAlignment="1">
      <alignment wrapText="1"/>
    </xf>
    <xf numFmtId="43" fontId="3" fillId="0" borderId="0" xfId="2" applyNumberFormat="1" applyFont="1" applyAlignment="1">
      <alignment wrapText="1"/>
    </xf>
    <xf numFmtId="0" fontId="3" fillId="0" borderId="3" xfId="2" applyFont="1" applyBorder="1" applyAlignment="1">
      <alignment horizontal="center" wrapText="1"/>
    </xf>
    <xf numFmtId="0" fontId="3" fillId="0" borderId="3" xfId="5" applyFont="1" applyBorder="1"/>
    <xf numFmtId="1" fontId="3" fillId="0" borderId="3" xfId="2" applyNumberFormat="1" applyFont="1" applyBorder="1" applyAlignment="1">
      <alignment horizontal="center"/>
    </xf>
    <xf numFmtId="0" fontId="3" fillId="0" borderId="4" xfId="2" applyFont="1" applyBorder="1" applyAlignment="1">
      <alignment wrapText="1"/>
    </xf>
    <xf numFmtId="167" fontId="3" fillId="0" borderId="4" xfId="4" applyNumberFormat="1" applyFont="1" applyBorder="1" applyAlignment="1">
      <alignment wrapText="1"/>
    </xf>
    <xf numFmtId="164" fontId="3" fillId="0" borderId="3" xfId="6" applyNumberFormat="1" applyFont="1" applyBorder="1" applyAlignment="1">
      <alignment wrapText="1"/>
    </xf>
    <xf numFmtId="164" fontId="3" fillId="0" borderId="3" xfId="2" applyNumberFormat="1" applyFont="1" applyBorder="1" applyAlignment="1">
      <alignment wrapText="1"/>
    </xf>
    <xf numFmtId="2" fontId="3" fillId="0" borderId="3" xfId="2" applyNumberFormat="1" applyFont="1" applyBorder="1" applyAlignment="1">
      <alignment wrapText="1"/>
    </xf>
    <xf numFmtId="43" fontId="3" fillId="0" borderId="3" xfId="6" applyFont="1" applyBorder="1" applyAlignment="1">
      <alignment wrapText="1"/>
    </xf>
    <xf numFmtId="0" fontId="3" fillId="0" borderId="4" xfId="2" applyFont="1" applyBorder="1" applyAlignment="1">
      <alignment horizontal="center" wrapText="1"/>
    </xf>
    <xf numFmtId="164" fontId="3" fillId="0" borderId="1" xfId="2" applyNumberFormat="1" applyFont="1" applyBorder="1" applyAlignment="1">
      <alignment wrapText="1"/>
    </xf>
    <xf numFmtId="164" fontId="3" fillId="0" borderId="4" xfId="2" applyNumberFormat="1" applyFont="1" applyBorder="1" applyAlignment="1">
      <alignment wrapText="1"/>
    </xf>
    <xf numFmtId="43" fontId="3" fillId="0" borderId="3" xfId="2" applyNumberFormat="1" applyFont="1" applyBorder="1" applyAlignment="1">
      <alignment wrapText="1"/>
    </xf>
    <xf numFmtId="168" fontId="3" fillId="0" borderId="3" xfId="6" applyNumberFormat="1" applyFont="1" applyBorder="1" applyAlignment="1">
      <alignment wrapText="1"/>
    </xf>
    <xf numFmtId="164" fontId="3" fillId="0" borderId="1" xfId="6" applyNumberFormat="1" applyFont="1" applyBorder="1" applyAlignment="1">
      <alignment wrapText="1"/>
    </xf>
    <xf numFmtId="43" fontId="3" fillId="0" borderId="0" xfId="6" applyFont="1"/>
    <xf numFmtId="164" fontId="3" fillId="0" borderId="0" xfId="6" applyNumberFormat="1" applyFont="1"/>
    <xf numFmtId="43" fontId="5" fillId="0" borderId="0" xfId="6" applyFont="1"/>
    <xf numFmtId="2" fontId="1" fillId="2" borderId="0" xfId="1" applyNumberFormat="1"/>
    <xf numFmtId="164" fontId="3" fillId="0" borderId="3" xfId="6" applyNumberFormat="1" applyFont="1" applyBorder="1"/>
    <xf numFmtId="164" fontId="3" fillId="0" borderId="4" xfId="6" applyNumberFormat="1" applyFont="1" applyBorder="1" applyAlignment="1">
      <alignment wrapText="1"/>
    </xf>
    <xf numFmtId="0" fontId="0" fillId="0" borderId="0" xfId="6" applyNumberFormat="1" applyFont="1"/>
    <xf numFmtId="164" fontId="8" fillId="0" borderId="0" xfId="9" applyNumberFormat="1"/>
    <xf numFmtId="0" fontId="9" fillId="0" borderId="0" xfId="9" applyFont="1" applyAlignment="1">
      <alignment horizontal="center"/>
    </xf>
    <xf numFmtId="0" fontId="21" fillId="4" borderId="12" xfId="0" applyFont="1" applyFill="1" applyBorder="1"/>
    <xf numFmtId="0" fontId="21" fillId="4" borderId="0" xfId="0" applyFont="1" applyFill="1" applyBorder="1"/>
    <xf numFmtId="0" fontId="21" fillId="4" borderId="13" xfId="0" applyFont="1" applyFill="1" applyBorder="1"/>
    <xf numFmtId="0" fontId="0" fillId="0" borderId="10" xfId="0" applyBorder="1"/>
    <xf numFmtId="0" fontId="0" fillId="0" borderId="9" xfId="0" applyBorder="1"/>
    <xf numFmtId="0" fontId="0" fillId="0" borderId="0" xfId="0" applyFont="1" applyBorder="1"/>
    <xf numFmtId="0" fontId="0" fillId="5" borderId="0" xfId="0" applyFont="1" applyFill="1" applyBorder="1"/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0" fillId="0" borderId="8" xfId="0" applyBorder="1"/>
  </cellXfs>
  <cellStyles count="11">
    <cellStyle name="Bad" xfId="1" builtinId="27"/>
    <cellStyle name="Comma" xfId="6" builtinId="3"/>
    <cellStyle name="Comma 2" xfId="3" xr:uid="{1369620C-41CA-4845-A59F-D1E8F7A6C810}"/>
    <cellStyle name="Normal" xfId="0" builtinId="0"/>
    <cellStyle name="Normal 2" xfId="2" xr:uid="{ABB2B070-BE87-9B49-AF6E-9C50DEA9FEC9}"/>
    <cellStyle name="Normal 2 2" xfId="5" xr:uid="{ED4F2A0E-E809-B145-B76A-408FF994A555}"/>
    <cellStyle name="Normal 3" xfId="9" xr:uid="{B047286D-15FC-894E-BAA0-E1EC6D38D62E}"/>
    <cellStyle name="Percent" xfId="7" builtinId="5"/>
    <cellStyle name="Percent 2" xfId="4" xr:uid="{F78C73F0-73FE-5B43-8130-1F02611BBDAD}"/>
    <cellStyle name="Percent 2 2" xfId="10" xr:uid="{20002895-3488-934D-8D27-6FBF0F11F405}"/>
    <cellStyle name="Warning Text" xfId="8" builtinId="11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border outline="0">
        <top style="thin">
          <color theme="4" tint="0.39997558519241921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/Box%20Sync/*Work/Research/Publications/Papers_in_progress/Book_chapter-LCA_of_wind/Data/Wind_Turbine_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_data_for_publication"/>
      <sheetName val="Data - Kubizweski (2010)"/>
      <sheetName val="Data - Dale (2012)"/>
      <sheetName val="NREL (2014)"/>
      <sheetName val="Data - Carbajales-Dale (2016)"/>
      <sheetName val="Data - Mendecka (2019)"/>
      <sheetName val="Data - Carbajales-Dale (2022)"/>
      <sheetName val="More data from sources"/>
      <sheetName val="Unit_conversion"/>
      <sheetName val="Total_wind_installed_capacity"/>
      <sheetName val="Wind_capacity_chart"/>
      <sheetName val="Wind_capacity_chart_log"/>
      <sheetName val="CED_by_component"/>
      <sheetName val="CED_by_component_chart"/>
      <sheetName val="GHG_by_component"/>
      <sheetName val="GHG_by_component_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B4">
            <v>29307.599999999999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dale@clemson.edu" id="{D75F4565-9097-F249-8495-6CE069820202}" userId="" providerId=""/>
  <person displayName="Mik Carbajales-Dale" id="{45C94CB3-17B1-9A44-9FAD-ADE869E55D49}" userId="S::madale@clemson.edu::a011b248-97cb-4944-9c4a-5c77eb4c12b8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056168C-C323-6447-8EB1-D9AA1E5DD58C}" name="Table3" displayName="Table3" ref="A1:BE828" totalsRowShown="0" headerRowDxfId="0" tableBorderDxfId="1">
  <autoFilter ref="A1:BE828" xr:uid="{1056168C-C323-6447-8EB1-D9AA1E5DD58C}"/>
  <sortState xmlns:xlrd2="http://schemas.microsoft.com/office/spreadsheetml/2017/richdata2" ref="A2:BE828">
    <sortCondition ref="C1:C828"/>
  </sortState>
  <tableColumns count="57">
    <tableColumn id="1" xr3:uid="{9F1A0020-7744-E242-BEB5-11AF888B1E64}" name="Ref"/>
    <tableColumn id="2" xr3:uid="{0FBB86E0-2D37-C045-9AD2-D2878D5AB78B}" name="Author"/>
    <tableColumn id="3" xr3:uid="{76C45C58-F134-B641-BAE5-C6FEB1FCCBF4}" name="Publication year"/>
    <tableColumn id="4" xr3:uid="{C6FE28C2-2AD4-634E-BD90-C38C085DBFD5}" name="Installation year"/>
    <tableColumn id="5" xr3:uid="{390B3FF2-DB83-2146-A825-658B36C4C6D1}" name="Capacity reference year"/>
    <tableColumn id="6" xr3:uid="{D49AD099-A1ED-D447-8CEA-09329333F5A0}" name="Analysis type"/>
    <tableColumn id="7" xr3:uid="{B7537A40-DCD9-7D48-AC3E-9CDC6A8B7BCA}" name="Location"/>
    <tableColumn id="8" xr3:uid="{5706E71A-1FB9-694A-AB1D-C2A82CFF6FFE}" name="Turbine power rating (kW)"/>
    <tableColumn id="9" xr3:uid="{6E8DE1AF-DA40-B241-964B-4543DCF47057}" name="Number turbines"/>
    <tableColumn id="10" xr3:uid="{2EBF4F29-EFCF-674B-9056-04D65E967EE1}" name="Turbine information"/>
    <tableColumn id="11" xr3:uid="{82D58E7A-9112-384E-8D98-7A42746620F0}" name="System"/>
    <tableColumn id="12" xr3:uid="{F801E0C7-86B4-544F-AF23-9FEFCA0F28E3}" name="On/offshore"/>
    <tableColumn id="13" xr3:uid="{7B3DBA06-1C0E-9F49-8FA8-7460A3245CB8}" name="Hub height (m)"/>
    <tableColumn id="14" xr3:uid="{7829D2CC-EB67-564F-9C5F-86FF774D0F42}" name="CED (MJ(p)/Wp)"/>
    <tableColumn id="15" xr3:uid="{78D8DD6D-1A50-B246-8AF6-6C0335156A1B}" name="Error CED (MJ(p)/Wp)"/>
    <tableColumn id="16" xr3:uid="{24760BBF-D0BB-884C-92B4-9B0B2EF313F8}" name="CED (kWh(p)/Wp)"/>
    <tableColumn id="17" xr3:uid="{05EF2932-6E06-FD47-8EC6-B20CA870963F}" name="Total CO2 emissions (kg CO2-eq)"/>
    <tableColumn id="18" xr3:uid="{49B959A9-1982-D24B-984A-0CE7548277CE}" name="Error total CO2 emissions (kg CO2-eq)"/>
    <tableColumn id="19" xr3:uid="{22728228-AEC6-9B40-AAB2-A7801352BBF5}" name="CO2 emissions (kg CO2-eq/Wp)"/>
    <tableColumn id="20" xr3:uid="{42AE9305-9222-BA4B-BEE7-3FF328F2E8E6}" name="Error CO2 emissions (kg CO2-eq/Wp)"/>
    <tableColumn id="21" xr3:uid="{734671ED-EA14-854D-B493-A95769602C6A}" name="Lifetime (yr)"/>
    <tableColumn id="22" xr3:uid="{E2A640E6-4C43-3646-B8AE-A737728D2417}" name="EROI, no quality adjustment"/>
    <tableColumn id="23" xr3:uid="{B8B21C14-6D94-D247-ADD7-14225A4ED4A7}" name="Error EROI"/>
    <tableColumn id="24" xr3:uid="{5F54AA7D-A38E-634C-BBC1-22AAC4836D70}" name="EROI (primary)"/>
    <tableColumn id="25" xr3:uid="{31B80BF7-D92A-4542-AC4D-F3E88F68D757}" name="Error EROI (primary)"/>
    <tableColumn id="26" xr3:uid="{7DDEB264-319C-4D4B-83E6-30FA934F8EC2}" name="Energy intensity (MJ(p)/kWh(e))"/>
    <tableColumn id="27" xr3:uid="{9C1D29A3-19C1-3644-9180-A9E67F6255C0}" name="GHG payback time (mths)"/>
    <tableColumn id="28" xr3:uid="{9C8E3B25-E1B8-4D43-8DDE-12835DB448D1}" name="Comments"/>
    <tableColumn id="29" xr3:uid="{95B0526B-E6BA-4343-91A7-574B8715C910}" name="Energy payback time (yrs)"/>
    <tableColumn id="30" xr3:uid="{FB504290-FA36-1E4B-BA68-F68CDCE7B559}" name="Scope as stated"/>
    <tableColumn id="31" xr3:uid="{CDEA2AE6-23F4-2243-A70F-5D525D3AE211}" name="Rotor diameter (m)"/>
    <tableColumn id="32" xr3:uid="{563091FB-5CF4-F448-BABF-BC449DD25772}" name="Capacity factor (%)"/>
    <tableColumn id="33" xr3:uid="{736A0A33-12F6-2E4C-9B1C-046FB765BBF0}" name="Total capacity (kW)"/>
    <tableColumn id="34" xr3:uid="{56BA2410-CCFC-CC4D-9288-BDB6F87D8EA8}" name="Gross energy requirement (MJ(p))"/>
    <tableColumn id="35" xr3:uid="{69DC13F7-5E9A-A84A-B835-CA256EB32851}" name="Error CED (kWh(p)/Wp)"/>
    <tableColumn id="36" xr3:uid="{5147A68C-6E9E-6749-B5C9-7B2D8DE506C0}" name="Electricity conversion factor (%)"/>
    <tableColumn id="37" xr3:uid="{5BB9A64C-63DD-7340-A64D-79E7BA5ACDD4}" name="Table Names"/>
    <tableColumn id="38" xr3:uid="{E9867B9B-EC5D-544E-8004-D237A89DFE01}" name="File Paths"/>
    <tableColumn id="39" xr3:uid="{F8CA548C-6CDD-FB4A-8C10-08D2FAF09EDA}" name="Installed capacity wind (MW)"/>
    <tableColumn id="40" xr3:uid="{03652F03-A3F4-CE44-BABD-EF50A7A0C022}" name="Foundation/platform"/>
    <tableColumn id="41" xr3:uid="{D49F2E5B-B5D7-AA48-BE42-67FD3E56E6E8}" name="Operational/ conceptual"/>
    <tableColumn id="42" xr3:uid="{4B64D60C-93CD-B645-A0DE-969FA52B1A23}" name="Error gross energy requirement (MJ(p))"/>
    <tableColumn id="43" xr3:uid="{9BD4F769-6B2E-9142-B07D-0B6964C38640}" name="Gross energy requirement (kWh(p))"/>
    <tableColumn id="44" xr3:uid="{5589F80D-93CC-904C-99C2-06DE58044E93}" name="Error gross energy requirement (kWh(p))"/>
    <tableColumn id="45" xr3:uid="{3A208851-EE03-1248-AF51-EC0C7955E34D}" name="Gross energy requirement (kWh(e))"/>
    <tableColumn id="46" xr3:uid="{02484FFB-947B-E840-BFC4-45B766F0EEC1}" name="Error gross energy requirement (kWh(e))"/>
    <tableColumn id="47" xr3:uid="{9B9B4C8F-825D-E347-B946-25991D77A5F5}" name="CED (kWh(e)/Wp)"/>
    <tableColumn id="48" xr3:uid="{B0211895-5ABF-8443-BCEE-B77607086594}" name="Error CED (kWh(e)/Wp)"/>
    <tableColumn id="49" xr3:uid="{5A208C82-65C2-5E49-BA27-26CFC775FB8C}" name="Annual electricity output (kWh(e)/yr)"/>
    <tableColumn id="50" xr3:uid="{993F765D-E4C3-2E43-951E-A5CEA5EFB096}" name="Error annual electricity output (kWh(e)/yr)"/>
    <tableColumn id="51" xr3:uid="{C89B7EC4-33D5-AA4C-A3B7-1597DA53B87D}" name="Total electricity output (kWh(e))"/>
    <tableColumn id="52" xr3:uid="{1318E0F2-57B5-3B41-A03D-9D302A3E07F4}" name="Specific electricity output (kWh(e)/MWp)"/>
    <tableColumn id="53" xr3:uid="{FCFB8DB1-8EDF-B645-91DB-1EFE832FB69D}" name="Error energy intensity (MJ(p)/kWh(e))"/>
    <tableColumn id="54" xr3:uid="{CE60918F-F163-7C4E-ACDC-28D3E81536FF}" name="Energy intensity (kWh(in-p)/kWh(out-e))"/>
    <tableColumn id="55" xr3:uid="{3F0E74A6-1440-CA4E-9206-942059E92E59}" name="Error Energy intensity (kWh(in-p)/kWh(out-e))"/>
    <tableColumn id="56" xr3:uid="{9F78119C-8323-F64C-B01F-1413D7FC432D}" name="CO2 intensity (gCO2-eq/kWh)"/>
    <tableColumn id="57" xr3:uid="{4CA6214E-EA48-CD49-BC91-98F64ECAC71B}" name="Error CO2 intensity (g-CO2/kWh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L14" dT="2022-05-02T14:44:28.06" personId="{45C94CB3-17B1-9A44-9FAD-ADE869E55D49}" id="{B4C1615D-1C30-374D-8595-61C9F0C1400D}">
    <text>Value was 20/40</text>
  </threadedComment>
  <threadedComment ref="AL16" dT="2022-05-02T14:44:48.93" personId="{45C94CB3-17B1-9A44-9FAD-ADE869E55D49}" id="{53C15420-8707-E940-8CFB-C2DDD7ACC875}">
    <text>Value was 20/40</text>
  </threadedComment>
  <threadedComment ref="AL18" dT="2022-05-02T14:45:02.33" personId="{45C94CB3-17B1-9A44-9FAD-ADE869E55D49}" id="{D70EA0CC-6B4A-E148-A6F5-A9FA7C6983D3}">
    <text>Value was 20/40</text>
  </threadedComment>
  <threadedComment ref="AL36" dT="2022-05-02T14:45:12.01" personId="{45C94CB3-17B1-9A44-9FAD-ADE869E55D49}" id="{86019344-E151-C145-A755-2453BD673F88}">
    <text>Value was 20/40</text>
  </threadedComment>
  <threadedComment ref="AL68" dT="2022-05-02T17:29:40.67" personId="{45C94CB3-17B1-9A44-9FAD-ADE869E55D49}" id="{B26DC418-EA04-9644-8D94-84B958767273}">
    <text>Value was “various”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Z2" dT="2022-03-02T17:06:46.25" personId="{45C94CB3-17B1-9A44-9FAD-ADE869E55D49}" id="{4D1958C8-5B52-2A46-9032-87539296F1BB}">
    <text>A conversion factor of one was used to convert MWh of electricity to tons of coal equivalent.</text>
  </threadedComment>
  <threadedComment ref="R44" dT="2022-03-09T21:19:17.35" personId="{45C94CB3-17B1-9A44-9FAD-ADE869E55D49}" id="{6038154D-22AF-1644-8A46-6C675238DA0B}">
    <text>Values from Mendecka (2018) are for lifecycle thermo-ecological cost (LC-TEC)</text>
  </threadedComment>
  <threadedComment ref="AE80" dT="2022-03-18T18:22:54.44" personId="{D75F4565-9097-F249-8495-6CE069820202}" id="{3309F8B8-2AA8-5144-B771-C7C864F60639}">
    <text>Note sure what the units are supposed to be here...</text>
  </threadedComment>
  <threadedComment ref="AU135" dT="2022-03-23T18:01:52.21" personId="{45C94CB3-17B1-9A44-9FAD-ADE869E55D49}" id="{7AFD48AD-A3D0-EA42-8D7E-1A8FBBF43F86}">
    <text>This is thermo-ecological cost in MJ_exergy/MJ</text>
  </threadedComment>
  <threadedComment ref="AU136" dT="2022-03-23T18:02:16.28" personId="{45C94CB3-17B1-9A44-9FAD-ADE869E55D49}" id="{0A259A2C-C4EA-6F45-BBAF-88B6C8E4ECB9}">
    <text>This is thermo-ecological cost in MJ_ex/MJ</text>
  </threadedComment>
  <threadedComment ref="J270" dT="2022-05-02T14:20:38.00" personId="{45C94CB3-17B1-9A44-9FAD-ADE869E55D49}" id="{1FCDB265-BBBB-DB40-9552-0E547E0569EC}">
    <text>This group is labeled as &lt;1000</text>
  </threadedComment>
  <threadedComment ref="J271" dT="2022-05-02T14:21:11.35" personId="{45C94CB3-17B1-9A44-9FAD-ADE869E55D49}" id="{D8B1A5A3-5D05-1A43-B8C0-F18FE1A5933E}">
    <text>This group is labeled as 1000-3000</text>
  </threadedComment>
  <threadedComment ref="J272" dT="2022-05-02T14:21:42.94" personId="{45C94CB3-17B1-9A44-9FAD-ADE869E55D49}" id="{D343D3BE-0E05-DF41-B80E-CF68982002FF}">
    <text>This group is labeled as &gt;3000</text>
  </threadedComment>
  <threadedComment ref="J273" dT="2022-05-02T14:22:00.45" personId="{45C94CB3-17B1-9A44-9FAD-ADE869E55D49}" id="{4E779D22-C419-0740-B810-7F25053FAD20}">
    <text>This group is labeled as 1000-3000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G2" dT="2021-11-16T01:46:05.72" personId="{45C94CB3-17B1-9A44-9FAD-ADE869E55D49}" id="{56898BFD-548F-A648-9B76-565EEAD93CF0}">
    <text>https://wwindea.org/worldwide-wind-capacity-reaches-744-gigawatts/</text>
  </threadedComment>
</ThreadedComment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198A9-74AB-7441-AE12-E9CFAB51E13B}">
  <dimension ref="A1:BA125"/>
  <sheetViews>
    <sheetView topLeftCell="Y1" workbookViewId="0">
      <pane ySplit="1" topLeftCell="A2" activePane="bottomLeft" state="frozen"/>
      <selection pane="bottomLeft" activeCell="J2" sqref="J2"/>
    </sheetView>
  </sheetViews>
  <sheetFormatPr baseColWidth="10" defaultColWidth="10.6640625" defaultRowHeight="19" customHeight="1"/>
  <cols>
    <col min="1" max="1" width="23.5" style="1" customWidth="1"/>
    <col min="2" max="2" width="13.33203125" style="1" customWidth="1"/>
    <col min="3" max="5" width="10.6640625" style="1" customWidth="1"/>
    <col min="6" max="6" width="10.5" style="1" customWidth="1"/>
    <col min="7" max="7" width="9.5" style="5" customWidth="1"/>
    <col min="8" max="8" width="10.5" style="1" customWidth="1"/>
    <col min="9" max="9" width="18.1640625" style="5" customWidth="1"/>
    <col min="10" max="12" width="10.6640625" style="1" customWidth="1"/>
    <col min="13" max="13" width="20.33203125" style="5" bestFit="1" customWidth="1"/>
    <col min="14" max="14" width="11.1640625" style="1" customWidth="1"/>
    <col min="15" max="15" width="10.33203125" style="1" customWidth="1"/>
    <col min="16" max="16" width="8.83203125" style="1" customWidth="1"/>
    <col min="17" max="17" width="13.1640625" style="1" customWidth="1"/>
    <col min="18" max="18" width="12.1640625" style="5" bestFit="1" customWidth="1"/>
    <col min="19" max="19" width="8.6640625" style="1" customWidth="1"/>
    <col min="20" max="20" width="12.1640625" style="1" bestFit="1" customWidth="1"/>
    <col min="21" max="21" width="8.6640625" style="1" customWidth="1"/>
    <col min="22" max="23" width="12" style="1" customWidth="1"/>
    <col min="24" max="30" width="12.6640625" style="1" customWidth="1"/>
    <col min="31" max="31" width="12.6640625" style="5" customWidth="1"/>
    <col min="32" max="34" width="12.6640625" style="1" customWidth="1"/>
    <col min="35" max="35" width="8.5" style="5" customWidth="1"/>
    <col min="36" max="36" width="12.1640625" style="1" customWidth="1"/>
    <col min="37" max="37" width="13.33203125" style="1" customWidth="1"/>
    <col min="38" max="38" width="7" style="1" customWidth="1"/>
    <col min="39" max="39" width="14.6640625" style="1" bestFit="1" customWidth="1"/>
    <col min="40" max="40" width="14.6640625" style="1" customWidth="1"/>
    <col min="41" max="41" width="14.6640625" style="5" customWidth="1"/>
    <col min="42" max="42" width="14.6640625" style="1" customWidth="1"/>
    <col min="43" max="46" width="8.6640625" style="1" customWidth="1"/>
    <col min="47" max="48" width="18.83203125" style="15" customWidth="1"/>
    <col min="49" max="49" width="12.83203125" style="1" customWidth="1"/>
    <col min="50" max="50" width="11.83203125" style="5" customWidth="1"/>
    <col min="51" max="52" width="11.83203125" style="1" customWidth="1"/>
    <col min="53" max="53" width="10.6640625" style="5" customWidth="1"/>
    <col min="54" max="16384" width="10.6640625" style="1"/>
  </cols>
  <sheetData>
    <row r="1" spans="1:53" ht="90">
      <c r="A1" s="1" t="s">
        <v>331</v>
      </c>
      <c r="B1" s="2" t="s">
        <v>0</v>
      </c>
      <c r="C1" s="2" t="s">
        <v>332</v>
      </c>
      <c r="D1" s="2" t="s">
        <v>1</v>
      </c>
      <c r="E1" s="2" t="s">
        <v>2</v>
      </c>
      <c r="F1" s="2" t="s">
        <v>573</v>
      </c>
      <c r="G1" s="3" t="s">
        <v>14</v>
      </c>
      <c r="H1" s="2" t="s">
        <v>333</v>
      </c>
      <c r="I1" s="3" t="s">
        <v>3</v>
      </c>
      <c r="J1" s="2" t="s">
        <v>457</v>
      </c>
      <c r="K1" s="2" t="s">
        <v>4</v>
      </c>
      <c r="L1" s="2" t="s">
        <v>334</v>
      </c>
      <c r="M1" s="5" t="s">
        <v>15</v>
      </c>
      <c r="N1" s="2" t="s">
        <v>16</v>
      </c>
      <c r="O1" s="2" t="s">
        <v>574</v>
      </c>
      <c r="P1" s="2" t="s">
        <v>575</v>
      </c>
      <c r="Q1" s="2" t="s">
        <v>576</v>
      </c>
      <c r="R1" s="3" t="s">
        <v>335</v>
      </c>
      <c r="S1" s="8" t="s">
        <v>578</v>
      </c>
      <c r="T1" s="8" t="s">
        <v>577</v>
      </c>
      <c r="U1" s="8" t="s">
        <v>579</v>
      </c>
      <c r="V1" s="2" t="s">
        <v>5</v>
      </c>
      <c r="W1" s="8" t="s">
        <v>6</v>
      </c>
      <c r="X1" s="2" t="s">
        <v>459</v>
      </c>
      <c r="Y1" s="8" t="s">
        <v>336</v>
      </c>
      <c r="Z1" s="8" t="s">
        <v>580</v>
      </c>
      <c r="AA1" s="8" t="s">
        <v>581</v>
      </c>
      <c r="AB1" s="8" t="s">
        <v>582</v>
      </c>
      <c r="AC1" s="8" t="s">
        <v>583</v>
      </c>
      <c r="AD1" s="8" t="s">
        <v>584</v>
      </c>
      <c r="AE1" s="16" t="s">
        <v>7</v>
      </c>
      <c r="AF1" s="8" t="s">
        <v>8</v>
      </c>
      <c r="AG1" s="8" t="s">
        <v>9</v>
      </c>
      <c r="AH1" s="8" t="s">
        <v>10</v>
      </c>
      <c r="AI1" s="3" t="s">
        <v>337</v>
      </c>
      <c r="AJ1" s="8" t="s">
        <v>585</v>
      </c>
      <c r="AK1" s="8" t="s">
        <v>586</v>
      </c>
      <c r="AL1" s="2" t="s">
        <v>587</v>
      </c>
      <c r="AM1" s="8" t="s">
        <v>588</v>
      </c>
      <c r="AN1" s="8" t="s">
        <v>589</v>
      </c>
      <c r="AO1" s="9" t="s">
        <v>11</v>
      </c>
      <c r="AP1" s="10" t="s">
        <v>12</v>
      </c>
      <c r="AQ1" s="2" t="s">
        <v>329</v>
      </c>
      <c r="AR1" s="2" t="s">
        <v>330</v>
      </c>
      <c r="AS1" s="10" t="s">
        <v>13</v>
      </c>
      <c r="AT1" s="10" t="s">
        <v>590</v>
      </c>
      <c r="AU1" s="4" t="s">
        <v>591</v>
      </c>
      <c r="AV1" s="8" t="s">
        <v>592</v>
      </c>
      <c r="AW1" s="2" t="s">
        <v>383</v>
      </c>
      <c r="AX1" s="3" t="s">
        <v>594</v>
      </c>
      <c r="AY1" s="8" t="s">
        <v>593</v>
      </c>
      <c r="AZ1" s="8" t="s">
        <v>595</v>
      </c>
      <c r="BA1" s="5" t="s">
        <v>17</v>
      </c>
    </row>
    <row r="2" spans="1:53" ht="19" customHeight="1">
      <c r="A2" s="1" t="s">
        <v>562</v>
      </c>
      <c r="B2" s="2" t="str">
        <f>LEFT(RIGHT(A2,LEN(A2)-6),LEN(A2)-11)</f>
        <v>Lenzen</v>
      </c>
      <c r="C2" s="2">
        <v>1983</v>
      </c>
      <c r="D2" s="2"/>
      <c r="E2" s="11">
        <f>IF(D2&gt;0,D2,C2)</f>
        <v>1983</v>
      </c>
      <c r="F2" s="12" t="e">
        <f>LOOKUP(E2,Total_wind_installed_capacity!$A$3:$A$28,Total_wind_installed_capacity!$H$3:$H$28)</f>
        <v>#N/A</v>
      </c>
      <c r="G2" s="3" t="s">
        <v>109</v>
      </c>
      <c r="H2" s="2" t="s">
        <v>338</v>
      </c>
      <c r="I2" s="3" t="s">
        <v>212</v>
      </c>
      <c r="J2" s="2">
        <v>2</v>
      </c>
      <c r="K2" s="2">
        <v>1</v>
      </c>
      <c r="L2" s="2">
        <f>J2*K2</f>
        <v>2</v>
      </c>
      <c r="M2" s="3" t="s">
        <v>180</v>
      </c>
      <c r="N2" s="13" t="s">
        <v>339</v>
      </c>
      <c r="O2" s="2"/>
      <c r="P2" s="2"/>
      <c r="Q2" s="2" t="s">
        <v>340</v>
      </c>
      <c r="R2" s="222">
        <f>AS2*AM2</f>
        <v>187981.98260869569</v>
      </c>
      <c r="S2" s="2"/>
      <c r="T2" s="206">
        <f>R2/3.6</f>
        <v>52217.217391304359</v>
      </c>
      <c r="U2" s="2"/>
      <c r="V2" s="204">
        <f>R2/L2/1000</f>
        <v>93.990991304347844</v>
      </c>
      <c r="W2" s="2"/>
      <c r="X2" s="204">
        <f>T2/L2/1000</f>
        <v>26.10860869565218</v>
      </c>
      <c r="Y2" s="2"/>
      <c r="Z2" s="2"/>
      <c r="AA2" s="2"/>
      <c r="AB2" s="2"/>
      <c r="AC2" s="2"/>
      <c r="AD2" s="2"/>
      <c r="AE2" s="218">
        <f>AX2*AM2/1000</f>
        <v>0</v>
      </c>
      <c r="AF2" s="2"/>
      <c r="AG2" s="207">
        <f>AE2/L3/1000</f>
        <v>0</v>
      </c>
      <c r="AH2" s="2"/>
      <c r="AI2" s="14">
        <v>0.45700000000000002</v>
      </c>
      <c r="AJ2" s="205">
        <f>L2*8760*AI2</f>
        <v>8006.64</v>
      </c>
      <c r="AK2" s="2"/>
      <c r="AL2" s="2">
        <v>15</v>
      </c>
      <c r="AM2" s="206">
        <f>AJ2*AL2</f>
        <v>120099.6</v>
      </c>
      <c r="AN2" s="206">
        <f>AM2/L2*1000</f>
        <v>60049800</v>
      </c>
      <c r="AO2" s="3"/>
      <c r="AP2" s="2"/>
      <c r="AQ2" s="204">
        <v>2.2999999999999998</v>
      </c>
      <c r="AR2" s="2"/>
      <c r="AS2" s="203">
        <f>AU2*3.6</f>
        <v>1.5652173913043481</v>
      </c>
      <c r="AT2" s="2"/>
      <c r="AU2" s="203">
        <f t="shared" ref="AU2:AU21" si="0">1/AQ2</f>
        <v>0.43478260869565222</v>
      </c>
      <c r="AV2" s="4"/>
      <c r="AW2" s="203">
        <f t="shared" ref="AW2:AW33" si="1">AL2*AU2</f>
        <v>6.5217391304347831</v>
      </c>
      <c r="AX2" s="3"/>
      <c r="AY2" s="2"/>
      <c r="AZ2" s="2"/>
    </row>
    <row r="3" spans="1:53" ht="19" customHeight="1">
      <c r="A3" s="1" t="s">
        <v>562</v>
      </c>
      <c r="B3" s="2" t="str">
        <f t="shared" ref="B3:B66" si="2">LEFT(RIGHT(A3,LEN(A3)-6),LEN(A3)-11)</f>
        <v>Lenzen</v>
      </c>
      <c r="C3" s="2">
        <v>1981</v>
      </c>
      <c r="D3" s="2"/>
      <c r="E3" s="11">
        <f t="shared" ref="E3:E66" si="3">IF(D3&gt;0,D3,C3)</f>
        <v>1981</v>
      </c>
      <c r="F3" s="12" t="e">
        <f>LOOKUP(E3,Total_wind_installed_capacity!$A$3:$A$28,Total_wind_installed_capacity!$H$3:$H$28)</f>
        <v>#N/A</v>
      </c>
      <c r="G3" s="3" t="s">
        <v>109</v>
      </c>
      <c r="H3" s="2" t="s">
        <v>341</v>
      </c>
      <c r="I3" s="3" t="s">
        <v>214</v>
      </c>
      <c r="J3" s="2">
        <v>3</v>
      </c>
      <c r="K3" s="2">
        <v>1</v>
      </c>
      <c r="L3" s="2">
        <f t="shared" ref="L3:L66" si="4">J3*K3</f>
        <v>3</v>
      </c>
      <c r="M3" s="3" t="s">
        <v>180</v>
      </c>
      <c r="N3" s="13" t="s">
        <v>339</v>
      </c>
      <c r="O3" s="2">
        <v>4.3</v>
      </c>
      <c r="P3" s="2">
        <v>20</v>
      </c>
      <c r="Q3" s="2" t="s">
        <v>340</v>
      </c>
      <c r="R3" s="222">
        <f t="shared" ref="R3:R66" si="5">AS3*AM3</f>
        <v>507098.88000000006</v>
      </c>
      <c r="S3" s="2"/>
      <c r="T3" s="206">
        <f t="shared" ref="T3:T66" si="6">R3/3.6</f>
        <v>140860.80000000002</v>
      </c>
      <c r="U3" s="2"/>
      <c r="V3" s="204">
        <f t="shared" ref="V3:V66" si="7">R3/L3/1000</f>
        <v>169.03296000000003</v>
      </c>
      <c r="W3" s="2"/>
      <c r="X3" s="204">
        <f t="shared" ref="X3:X66" si="8">T3/L3/1000</f>
        <v>46.953600000000009</v>
      </c>
      <c r="Y3" s="2"/>
      <c r="Z3" s="2"/>
      <c r="AA3" s="2"/>
      <c r="AB3" s="2"/>
      <c r="AC3" s="2"/>
      <c r="AD3" s="2"/>
      <c r="AE3" s="218">
        <f t="shared" ref="AE3:AE66" si="9">AX3*AM3/1000</f>
        <v>0</v>
      </c>
      <c r="AF3" s="2"/>
      <c r="AG3" s="207">
        <f t="shared" ref="AG3:AG66" si="10">AE3/L4/1000</f>
        <v>0</v>
      </c>
      <c r="AH3" s="2"/>
      <c r="AI3" s="14">
        <v>0.26800000000000002</v>
      </c>
      <c r="AJ3" s="205">
        <f t="shared" ref="AJ3:AJ66" si="11">L3*8760*AI3</f>
        <v>7043.0400000000009</v>
      </c>
      <c r="AK3" s="2"/>
      <c r="AL3" s="2">
        <v>20</v>
      </c>
      <c r="AM3" s="206">
        <f t="shared" ref="AM3:AM66" si="12">AJ3*AL3</f>
        <v>140860.80000000002</v>
      </c>
      <c r="AN3" s="206">
        <f t="shared" ref="AN3:AN66" si="13">AM3/L3*1000</f>
        <v>46953600.000000007</v>
      </c>
      <c r="AO3" s="3"/>
      <c r="AP3" s="2"/>
      <c r="AQ3" s="204">
        <v>1</v>
      </c>
      <c r="AR3" s="2"/>
      <c r="AS3" s="203">
        <f t="shared" ref="AS3:AS66" si="14">AU3*3.6</f>
        <v>3.6</v>
      </c>
      <c r="AT3" s="2"/>
      <c r="AU3" s="203">
        <f t="shared" si="0"/>
        <v>1</v>
      </c>
      <c r="AV3" s="4"/>
      <c r="AW3" s="203">
        <f t="shared" si="1"/>
        <v>20</v>
      </c>
      <c r="AX3" s="3"/>
      <c r="AY3" s="2"/>
      <c r="AZ3" s="2"/>
    </row>
    <row r="4" spans="1:53" ht="19" customHeight="1">
      <c r="A4" s="1" t="s">
        <v>562</v>
      </c>
      <c r="B4" s="2" t="str">
        <f t="shared" si="2"/>
        <v>Lenzen</v>
      </c>
      <c r="C4" s="2">
        <v>1983</v>
      </c>
      <c r="D4" s="2"/>
      <c r="E4" s="11">
        <f t="shared" si="3"/>
        <v>1983</v>
      </c>
      <c r="F4" s="12" t="e">
        <f>LOOKUP(E4,Total_wind_installed_capacity!$A$3:$A$28,Total_wind_installed_capacity!$H$3:$H$28)</f>
        <v>#N/A</v>
      </c>
      <c r="G4" s="3" t="s">
        <v>109</v>
      </c>
      <c r="H4" s="2" t="s">
        <v>338</v>
      </c>
      <c r="I4" s="3" t="s">
        <v>212</v>
      </c>
      <c r="J4" s="2">
        <v>6</v>
      </c>
      <c r="K4" s="2">
        <v>1</v>
      </c>
      <c r="L4" s="2">
        <f t="shared" si="4"/>
        <v>6</v>
      </c>
      <c r="M4" s="3" t="s">
        <v>180</v>
      </c>
      <c r="N4" s="13" t="s">
        <v>339</v>
      </c>
      <c r="O4" s="2"/>
      <c r="P4" s="2"/>
      <c r="Q4" s="2" t="s">
        <v>340</v>
      </c>
      <c r="R4" s="222">
        <f t="shared" si="5"/>
        <v>381492.84705882357</v>
      </c>
      <c r="S4" s="2"/>
      <c r="T4" s="206">
        <f t="shared" si="6"/>
        <v>105970.23529411765</v>
      </c>
      <c r="U4" s="2"/>
      <c r="V4" s="204">
        <f t="shared" si="7"/>
        <v>63.582141176470593</v>
      </c>
      <c r="W4" s="2"/>
      <c r="X4" s="204">
        <f t="shared" si="8"/>
        <v>17.66170588235294</v>
      </c>
      <c r="Y4" s="2"/>
      <c r="Z4" s="2"/>
      <c r="AA4" s="2"/>
      <c r="AB4" s="2"/>
      <c r="AC4" s="2"/>
      <c r="AD4" s="2"/>
      <c r="AE4" s="218">
        <f t="shared" si="9"/>
        <v>0</v>
      </c>
      <c r="AF4" s="2"/>
      <c r="AG4" s="207">
        <f t="shared" si="10"/>
        <v>0</v>
      </c>
      <c r="AH4" s="2"/>
      <c r="AI4" s="14">
        <v>0.45700000000000002</v>
      </c>
      <c r="AJ4" s="205">
        <f t="shared" si="11"/>
        <v>24019.920000000002</v>
      </c>
      <c r="AK4" s="2"/>
      <c r="AL4" s="2">
        <v>15</v>
      </c>
      <c r="AM4" s="206">
        <f t="shared" si="12"/>
        <v>360298.80000000005</v>
      </c>
      <c r="AN4" s="206">
        <f t="shared" si="13"/>
        <v>60049800.000000007</v>
      </c>
      <c r="AO4" s="3"/>
      <c r="AP4" s="2"/>
      <c r="AQ4" s="204">
        <v>3.4</v>
      </c>
      <c r="AR4" s="2"/>
      <c r="AS4" s="203">
        <f t="shared" si="14"/>
        <v>1.0588235294117647</v>
      </c>
      <c r="AT4" s="2"/>
      <c r="AU4" s="203">
        <f t="shared" si="0"/>
        <v>0.29411764705882354</v>
      </c>
      <c r="AV4" s="4"/>
      <c r="AW4" s="203">
        <f t="shared" si="1"/>
        <v>4.4117647058823533</v>
      </c>
      <c r="AX4" s="3"/>
      <c r="AY4" s="2"/>
      <c r="AZ4" s="2"/>
    </row>
    <row r="5" spans="1:53" ht="19" customHeight="1">
      <c r="A5" s="1" t="s">
        <v>562</v>
      </c>
      <c r="B5" s="2" t="str">
        <f t="shared" si="2"/>
        <v>Lenzen</v>
      </c>
      <c r="C5" s="2">
        <v>1983</v>
      </c>
      <c r="D5" s="2"/>
      <c r="E5" s="11">
        <f t="shared" si="3"/>
        <v>1983</v>
      </c>
      <c r="F5" s="12" t="e">
        <f>LOOKUP(E5,Total_wind_installed_capacity!$A$3:$A$28,Total_wind_installed_capacity!$H$3:$H$28)</f>
        <v>#N/A</v>
      </c>
      <c r="G5" s="3" t="s">
        <v>109</v>
      </c>
      <c r="H5" s="2" t="s">
        <v>338</v>
      </c>
      <c r="I5" s="3" t="s">
        <v>212</v>
      </c>
      <c r="J5" s="2">
        <v>12.5</v>
      </c>
      <c r="K5" s="2">
        <v>1</v>
      </c>
      <c r="L5" s="2">
        <f t="shared" si="4"/>
        <v>12.5</v>
      </c>
      <c r="M5" s="3" t="s">
        <v>180</v>
      </c>
      <c r="N5" s="13" t="s">
        <v>339</v>
      </c>
      <c r="O5" s="2"/>
      <c r="P5" s="2"/>
      <c r="Q5" s="2" t="s">
        <v>340</v>
      </c>
      <c r="R5" s="222">
        <f t="shared" si="5"/>
        <v>540448.20000000007</v>
      </c>
      <c r="S5" s="2"/>
      <c r="T5" s="206">
        <f t="shared" si="6"/>
        <v>150124.50000000003</v>
      </c>
      <c r="U5" s="2"/>
      <c r="V5" s="204">
        <f t="shared" si="7"/>
        <v>43.235856000000005</v>
      </c>
      <c r="W5" s="2"/>
      <c r="X5" s="204">
        <f t="shared" si="8"/>
        <v>12.009960000000003</v>
      </c>
      <c r="Y5" s="2"/>
      <c r="Z5" s="2"/>
      <c r="AA5" s="2"/>
      <c r="AB5" s="2"/>
      <c r="AC5" s="2"/>
      <c r="AD5" s="2"/>
      <c r="AE5" s="218">
        <f t="shared" si="9"/>
        <v>0</v>
      </c>
      <c r="AF5" s="2"/>
      <c r="AG5" s="207">
        <f t="shared" si="10"/>
        <v>0</v>
      </c>
      <c r="AH5" s="2"/>
      <c r="AI5" s="14">
        <v>0.45700000000000002</v>
      </c>
      <c r="AJ5" s="205">
        <f t="shared" si="11"/>
        <v>50041.5</v>
      </c>
      <c r="AK5" s="2"/>
      <c r="AL5" s="2">
        <v>15</v>
      </c>
      <c r="AM5" s="206">
        <f t="shared" si="12"/>
        <v>750622.5</v>
      </c>
      <c r="AN5" s="206">
        <f t="shared" si="13"/>
        <v>60049800</v>
      </c>
      <c r="AO5" s="3"/>
      <c r="AP5" s="2"/>
      <c r="AQ5" s="204">
        <v>5</v>
      </c>
      <c r="AR5" s="2"/>
      <c r="AS5" s="203">
        <f t="shared" si="14"/>
        <v>0.72000000000000008</v>
      </c>
      <c r="AT5" s="2"/>
      <c r="AU5" s="203">
        <f t="shared" si="0"/>
        <v>0.2</v>
      </c>
      <c r="AV5" s="4"/>
      <c r="AW5" s="203">
        <f t="shared" si="1"/>
        <v>3</v>
      </c>
      <c r="AX5" s="3"/>
      <c r="AY5" s="2"/>
      <c r="AZ5" s="2"/>
    </row>
    <row r="6" spans="1:53" ht="19" customHeight="1">
      <c r="A6" s="1" t="s">
        <v>562</v>
      </c>
      <c r="B6" s="2" t="str">
        <f t="shared" si="2"/>
        <v>Lenzen</v>
      </c>
      <c r="C6" s="2">
        <v>1997</v>
      </c>
      <c r="D6" s="2" t="str">
        <f>M6</f>
        <v xml:space="preserve">1980 </v>
      </c>
      <c r="E6" s="11" t="str">
        <f t="shared" si="3"/>
        <v xml:space="preserve">1980 </v>
      </c>
      <c r="F6" s="12" t="e">
        <f>LOOKUP(E6,Total_wind_installed_capacity!$A$3:$A$28,Total_wind_installed_capacity!$H$3:$H$28)</f>
        <v>#N/A</v>
      </c>
      <c r="G6" s="3" t="s">
        <v>109</v>
      </c>
      <c r="H6" s="2" t="s">
        <v>341</v>
      </c>
      <c r="I6" s="3" t="s">
        <v>205</v>
      </c>
      <c r="J6" s="2">
        <v>15</v>
      </c>
      <c r="K6" s="2">
        <v>1</v>
      </c>
      <c r="L6" s="2">
        <f t="shared" si="4"/>
        <v>15</v>
      </c>
      <c r="M6" s="3" t="s">
        <v>342</v>
      </c>
      <c r="N6" s="13" t="s">
        <v>339</v>
      </c>
      <c r="O6" s="2">
        <v>10</v>
      </c>
      <c r="P6" s="2">
        <v>18</v>
      </c>
      <c r="Q6" s="2" t="s">
        <v>340</v>
      </c>
      <c r="R6" s="222">
        <f t="shared" si="5"/>
        <v>233670.36144578311</v>
      </c>
      <c r="S6" s="2"/>
      <c r="T6" s="206">
        <f t="shared" si="6"/>
        <v>64908.433734939754</v>
      </c>
      <c r="U6" s="2"/>
      <c r="V6" s="204">
        <f t="shared" si="7"/>
        <v>15.578024096385541</v>
      </c>
      <c r="W6" s="2"/>
      <c r="X6" s="204">
        <f t="shared" si="8"/>
        <v>4.3272289156626504</v>
      </c>
      <c r="Y6" s="2"/>
      <c r="Z6" s="2"/>
      <c r="AA6" s="2"/>
      <c r="AB6" s="2"/>
      <c r="AC6" s="2"/>
      <c r="AD6" s="2"/>
      <c r="AE6" s="218">
        <f t="shared" si="9"/>
        <v>0</v>
      </c>
      <c r="AF6" s="2"/>
      <c r="AG6" s="207">
        <f t="shared" si="10"/>
        <v>0</v>
      </c>
      <c r="AH6" s="2"/>
      <c r="AI6" s="14">
        <v>0.20499999999999999</v>
      </c>
      <c r="AJ6" s="205">
        <f t="shared" si="11"/>
        <v>26937</v>
      </c>
      <c r="AK6" s="2"/>
      <c r="AL6" s="2">
        <v>20</v>
      </c>
      <c r="AM6" s="206">
        <f t="shared" si="12"/>
        <v>538740</v>
      </c>
      <c r="AN6" s="206">
        <f t="shared" si="13"/>
        <v>35916000</v>
      </c>
      <c r="AO6" s="3"/>
      <c r="AP6" s="2"/>
      <c r="AQ6" s="204">
        <v>8.3000000000000007</v>
      </c>
      <c r="AR6" s="2"/>
      <c r="AS6" s="203">
        <f t="shared" si="14"/>
        <v>0.4337349397590361</v>
      </c>
      <c r="AT6" s="2"/>
      <c r="AU6" s="203">
        <f t="shared" si="0"/>
        <v>0.12048192771084336</v>
      </c>
      <c r="AV6" s="4"/>
      <c r="AW6" s="203">
        <f t="shared" si="1"/>
        <v>2.4096385542168672</v>
      </c>
      <c r="AX6" s="3"/>
      <c r="AY6" s="2"/>
      <c r="AZ6" s="2"/>
    </row>
    <row r="7" spans="1:53" ht="19" customHeight="1">
      <c r="A7" s="1" t="s">
        <v>562</v>
      </c>
      <c r="B7" s="2" t="str">
        <f t="shared" si="2"/>
        <v>Lenzen</v>
      </c>
      <c r="C7" s="2">
        <v>1997</v>
      </c>
      <c r="D7" s="2" t="str">
        <f t="shared" ref="D7:D9" si="15">M7</f>
        <v xml:space="preserve">1980 </v>
      </c>
      <c r="E7" s="11" t="str">
        <f t="shared" si="3"/>
        <v xml:space="preserve">1980 </v>
      </c>
      <c r="F7" s="12" t="e">
        <f>LOOKUP(E7,Total_wind_installed_capacity!$A$3:$A$28,Total_wind_installed_capacity!$H$3:$H$28)</f>
        <v>#N/A</v>
      </c>
      <c r="G7" s="3" t="s">
        <v>109</v>
      </c>
      <c r="H7" s="2" t="s">
        <v>341</v>
      </c>
      <c r="I7" s="3" t="s">
        <v>205</v>
      </c>
      <c r="J7" s="2">
        <v>22</v>
      </c>
      <c r="K7" s="2">
        <v>1</v>
      </c>
      <c r="L7" s="2">
        <f t="shared" si="4"/>
        <v>22</v>
      </c>
      <c r="M7" s="3" t="s">
        <v>342</v>
      </c>
      <c r="N7" s="13" t="s">
        <v>339</v>
      </c>
      <c r="O7" s="2">
        <v>10.5</v>
      </c>
      <c r="P7" s="2">
        <v>18</v>
      </c>
      <c r="Q7" s="2" t="s">
        <v>340</v>
      </c>
      <c r="R7" s="222">
        <f t="shared" si="5"/>
        <v>340900.26666666666</v>
      </c>
      <c r="S7" s="2"/>
      <c r="T7" s="206">
        <f t="shared" si="6"/>
        <v>94694.518518518511</v>
      </c>
      <c r="U7" s="2"/>
      <c r="V7" s="204">
        <f t="shared" si="7"/>
        <v>15.495466666666667</v>
      </c>
      <c r="W7" s="2"/>
      <c r="X7" s="204">
        <f t="shared" si="8"/>
        <v>4.3042962962962958</v>
      </c>
      <c r="Y7" s="2"/>
      <c r="Z7" s="2"/>
      <c r="AA7" s="2"/>
      <c r="AB7" s="2"/>
      <c r="AC7" s="2"/>
      <c r="AD7" s="2"/>
      <c r="AE7" s="218">
        <f t="shared" si="9"/>
        <v>0</v>
      </c>
      <c r="AF7" s="2"/>
      <c r="AG7" s="207">
        <f t="shared" si="10"/>
        <v>0</v>
      </c>
      <c r="AH7" s="2"/>
      <c r="AI7" s="14">
        <v>0.19899999999999998</v>
      </c>
      <c r="AJ7" s="205">
        <f t="shared" si="11"/>
        <v>38351.279999999999</v>
      </c>
      <c r="AK7" s="2"/>
      <c r="AL7" s="2">
        <v>20</v>
      </c>
      <c r="AM7" s="206">
        <f t="shared" si="12"/>
        <v>767025.6</v>
      </c>
      <c r="AN7" s="206">
        <f t="shared" si="13"/>
        <v>34864799.999999993</v>
      </c>
      <c r="AO7" s="3"/>
      <c r="AP7" s="2"/>
      <c r="AQ7" s="204">
        <v>8.1</v>
      </c>
      <c r="AR7" s="2"/>
      <c r="AS7" s="203">
        <f t="shared" si="14"/>
        <v>0.44444444444444448</v>
      </c>
      <c r="AT7" s="2"/>
      <c r="AU7" s="203">
        <f t="shared" si="0"/>
        <v>0.1234567901234568</v>
      </c>
      <c r="AV7" s="4"/>
      <c r="AW7" s="203">
        <f t="shared" si="1"/>
        <v>2.4691358024691361</v>
      </c>
      <c r="AX7" s="3"/>
      <c r="AY7" s="2"/>
      <c r="AZ7" s="2"/>
    </row>
    <row r="8" spans="1:53" ht="19" customHeight="1">
      <c r="A8" s="1" t="s">
        <v>562</v>
      </c>
      <c r="B8" s="2" t="str">
        <f t="shared" si="2"/>
        <v>Lenzen</v>
      </c>
      <c r="C8" s="2">
        <v>1997</v>
      </c>
      <c r="D8" s="2" t="str">
        <f t="shared" si="15"/>
        <v xml:space="preserve">1980 </v>
      </c>
      <c r="E8" s="11" t="str">
        <f t="shared" si="3"/>
        <v xml:space="preserve">1980 </v>
      </c>
      <c r="F8" s="12" t="e">
        <f>LOOKUP(E8,Total_wind_installed_capacity!$A$3:$A$28,Total_wind_installed_capacity!$H$3:$H$28)</f>
        <v>#N/A</v>
      </c>
      <c r="G8" s="3" t="s">
        <v>109</v>
      </c>
      <c r="H8" s="2" t="s">
        <v>341</v>
      </c>
      <c r="I8" s="3" t="s">
        <v>205</v>
      </c>
      <c r="J8" s="2">
        <v>30</v>
      </c>
      <c r="K8" s="2">
        <v>1</v>
      </c>
      <c r="L8" s="2">
        <f t="shared" si="4"/>
        <v>30</v>
      </c>
      <c r="M8" s="3" t="s">
        <v>342</v>
      </c>
      <c r="N8" s="13" t="s">
        <v>339</v>
      </c>
      <c r="O8" s="2">
        <v>11</v>
      </c>
      <c r="P8" s="2">
        <v>19</v>
      </c>
      <c r="Q8" s="2" t="s">
        <v>340</v>
      </c>
      <c r="R8" s="222">
        <f t="shared" si="5"/>
        <v>359510.4</v>
      </c>
      <c r="S8" s="2"/>
      <c r="T8" s="206">
        <f t="shared" si="6"/>
        <v>99864</v>
      </c>
      <c r="U8" s="2"/>
      <c r="V8" s="204">
        <f t="shared" si="7"/>
        <v>11.98368</v>
      </c>
      <c r="W8" s="2"/>
      <c r="X8" s="204">
        <f t="shared" si="8"/>
        <v>3.3288000000000002</v>
      </c>
      <c r="Y8" s="2"/>
      <c r="Z8" s="2"/>
      <c r="AA8" s="2"/>
      <c r="AB8" s="2"/>
      <c r="AC8" s="2"/>
      <c r="AD8" s="2"/>
      <c r="AE8" s="218">
        <f t="shared" si="9"/>
        <v>0</v>
      </c>
      <c r="AF8" s="2"/>
      <c r="AG8" s="207">
        <f t="shared" si="10"/>
        <v>0</v>
      </c>
      <c r="AH8" s="2"/>
      <c r="AI8" s="14">
        <v>0.19</v>
      </c>
      <c r="AJ8" s="205">
        <f t="shared" si="11"/>
        <v>49932</v>
      </c>
      <c r="AK8" s="2"/>
      <c r="AL8" s="2">
        <v>20</v>
      </c>
      <c r="AM8" s="206">
        <f t="shared" si="12"/>
        <v>998640</v>
      </c>
      <c r="AN8" s="206">
        <f t="shared" si="13"/>
        <v>33288000</v>
      </c>
      <c r="AO8" s="3"/>
      <c r="AP8" s="2"/>
      <c r="AQ8" s="204">
        <v>10</v>
      </c>
      <c r="AR8" s="2"/>
      <c r="AS8" s="203">
        <f t="shared" si="14"/>
        <v>0.36000000000000004</v>
      </c>
      <c r="AT8" s="2"/>
      <c r="AU8" s="203">
        <f t="shared" si="0"/>
        <v>0.1</v>
      </c>
      <c r="AV8" s="4"/>
      <c r="AW8" s="203">
        <f t="shared" si="1"/>
        <v>2</v>
      </c>
      <c r="AX8" s="3"/>
      <c r="AY8" s="2"/>
      <c r="AZ8" s="2"/>
    </row>
    <row r="9" spans="1:53" ht="19" customHeight="1">
      <c r="A9" s="1" t="s">
        <v>562</v>
      </c>
      <c r="B9" s="2" t="str">
        <f t="shared" si="2"/>
        <v>Lenzen</v>
      </c>
      <c r="C9" s="2">
        <v>1983</v>
      </c>
      <c r="D9" s="2" t="str">
        <f t="shared" si="15"/>
        <v xml:space="preserve"> </v>
      </c>
      <c r="E9" s="11" t="str">
        <f t="shared" si="3"/>
        <v xml:space="preserve"> </v>
      </c>
      <c r="F9" s="12" t="e">
        <f>LOOKUP(E9,Total_wind_installed_capacity!$A$3:$A$28,Total_wind_installed_capacity!$H$3:$H$28)</f>
        <v>#N/A</v>
      </c>
      <c r="G9" s="3" t="s">
        <v>109</v>
      </c>
      <c r="H9" s="2" t="s">
        <v>338</v>
      </c>
      <c r="I9" s="3" t="s">
        <v>212</v>
      </c>
      <c r="J9" s="2">
        <v>32.5</v>
      </c>
      <c r="K9" s="2">
        <v>1</v>
      </c>
      <c r="L9" s="2">
        <f t="shared" si="4"/>
        <v>32.5</v>
      </c>
      <c r="M9" s="3" t="s">
        <v>180</v>
      </c>
      <c r="N9" s="13" t="s">
        <v>339</v>
      </c>
      <c r="O9" s="2"/>
      <c r="P9" s="2"/>
      <c r="Q9" s="2" t="s">
        <v>340</v>
      </c>
      <c r="R9" s="222">
        <f t="shared" si="5"/>
        <v>846485.13253012043</v>
      </c>
      <c r="S9" s="2"/>
      <c r="T9" s="206">
        <f t="shared" si="6"/>
        <v>235134.75903614456</v>
      </c>
      <c r="U9" s="2"/>
      <c r="V9" s="204">
        <f t="shared" si="7"/>
        <v>26.045696385542168</v>
      </c>
      <c r="W9" s="2"/>
      <c r="X9" s="204">
        <f t="shared" si="8"/>
        <v>7.2349156626506019</v>
      </c>
      <c r="Y9" s="2"/>
      <c r="Z9" s="2"/>
      <c r="AA9" s="2"/>
      <c r="AB9" s="2"/>
      <c r="AC9" s="2"/>
      <c r="AD9" s="2"/>
      <c r="AE9" s="218">
        <f t="shared" si="9"/>
        <v>0</v>
      </c>
      <c r="AF9" s="2"/>
      <c r="AG9" s="207">
        <f t="shared" si="10"/>
        <v>0</v>
      </c>
      <c r="AH9" s="2"/>
      <c r="AI9" s="14">
        <v>0.45700000000000002</v>
      </c>
      <c r="AJ9" s="205">
        <f t="shared" si="11"/>
        <v>130107.90000000001</v>
      </c>
      <c r="AK9" s="2"/>
      <c r="AL9" s="2">
        <v>15</v>
      </c>
      <c r="AM9" s="206">
        <f t="shared" si="12"/>
        <v>1951618.5000000002</v>
      </c>
      <c r="AN9" s="206">
        <f t="shared" si="13"/>
        <v>60049800.000000007</v>
      </c>
      <c r="AO9" s="3"/>
      <c r="AP9" s="2"/>
      <c r="AQ9" s="204">
        <v>8.3000000000000007</v>
      </c>
      <c r="AR9" s="2"/>
      <c r="AS9" s="203">
        <f t="shared" si="14"/>
        <v>0.4337349397590361</v>
      </c>
      <c r="AT9" s="2"/>
      <c r="AU9" s="203">
        <f t="shared" si="0"/>
        <v>0.12048192771084336</v>
      </c>
      <c r="AV9" s="4"/>
      <c r="AW9" s="203">
        <f t="shared" si="1"/>
        <v>1.8072289156626504</v>
      </c>
      <c r="AX9" s="3"/>
      <c r="AY9" s="2"/>
      <c r="AZ9" s="2"/>
    </row>
    <row r="10" spans="1:53" ht="19" customHeight="1">
      <c r="A10" s="1" t="s">
        <v>562</v>
      </c>
      <c r="B10" s="2" t="str">
        <f t="shared" si="2"/>
        <v>Lenzen</v>
      </c>
      <c r="C10" s="2">
        <v>1997</v>
      </c>
      <c r="D10" s="2" t="str">
        <f>M10</f>
        <v xml:space="preserve">1980 </v>
      </c>
      <c r="E10" s="11" t="str">
        <f t="shared" si="3"/>
        <v xml:space="preserve">1980 </v>
      </c>
      <c r="F10" s="12" t="e">
        <f>LOOKUP(E10,Total_wind_installed_capacity!$A$3:$A$28,Total_wind_installed_capacity!$H$3:$H$28)</f>
        <v>#N/A</v>
      </c>
      <c r="G10" s="3" t="s">
        <v>109</v>
      </c>
      <c r="H10" s="2" t="s">
        <v>341</v>
      </c>
      <c r="I10" s="3" t="s">
        <v>205</v>
      </c>
      <c r="J10" s="2">
        <v>55</v>
      </c>
      <c r="K10" s="2">
        <v>1</v>
      </c>
      <c r="L10" s="2">
        <f t="shared" si="4"/>
        <v>55</v>
      </c>
      <c r="M10" s="3" t="s">
        <v>342</v>
      </c>
      <c r="N10" s="13" t="s">
        <v>339</v>
      </c>
      <c r="O10" s="2">
        <v>16</v>
      </c>
      <c r="P10" s="2">
        <v>20</v>
      </c>
      <c r="Q10" s="2" t="s">
        <v>340</v>
      </c>
      <c r="R10" s="222">
        <f t="shared" si="5"/>
        <v>470135.36842105258</v>
      </c>
      <c r="S10" s="2"/>
      <c r="T10" s="206">
        <f t="shared" si="6"/>
        <v>130593.15789473683</v>
      </c>
      <c r="U10" s="2"/>
      <c r="V10" s="204">
        <f t="shared" si="7"/>
        <v>8.5479157894736844</v>
      </c>
      <c r="W10" s="2"/>
      <c r="X10" s="204">
        <f t="shared" si="8"/>
        <v>2.3744210526315785</v>
      </c>
      <c r="Y10" s="2"/>
      <c r="Z10" s="2"/>
      <c r="AA10" s="2"/>
      <c r="AB10" s="2"/>
      <c r="AC10" s="2"/>
      <c r="AD10" s="2"/>
      <c r="AE10" s="218">
        <f t="shared" si="9"/>
        <v>0</v>
      </c>
      <c r="AF10" s="2"/>
      <c r="AG10" s="207">
        <f t="shared" si="10"/>
        <v>0</v>
      </c>
      <c r="AH10" s="2"/>
      <c r="AI10" s="14">
        <v>0.20600000000000002</v>
      </c>
      <c r="AJ10" s="205">
        <f t="shared" si="11"/>
        <v>99250.8</v>
      </c>
      <c r="AK10" s="2"/>
      <c r="AL10" s="2">
        <v>20</v>
      </c>
      <c r="AM10" s="206">
        <f t="shared" si="12"/>
        <v>1985016</v>
      </c>
      <c r="AN10" s="206">
        <f t="shared" si="13"/>
        <v>36091200</v>
      </c>
      <c r="AO10" s="3"/>
      <c r="AP10" s="2"/>
      <c r="AQ10" s="204">
        <v>15.2</v>
      </c>
      <c r="AR10" s="2"/>
      <c r="AS10" s="203">
        <f t="shared" si="14"/>
        <v>0.23684210526315788</v>
      </c>
      <c r="AT10" s="2"/>
      <c r="AU10" s="203">
        <f t="shared" si="0"/>
        <v>6.5789473684210523E-2</v>
      </c>
      <c r="AV10" s="4"/>
      <c r="AW10" s="203">
        <f t="shared" si="1"/>
        <v>1.3157894736842104</v>
      </c>
      <c r="AX10" s="3"/>
      <c r="AY10" s="2"/>
      <c r="AZ10" s="2"/>
    </row>
    <row r="11" spans="1:53" ht="19" customHeight="1">
      <c r="A11" s="1" t="s">
        <v>562</v>
      </c>
      <c r="B11" s="2" t="str">
        <f t="shared" si="2"/>
        <v>Lenzen</v>
      </c>
      <c r="C11" s="2">
        <v>1991</v>
      </c>
      <c r="D11" s="2"/>
      <c r="E11" s="11">
        <f t="shared" si="3"/>
        <v>1991</v>
      </c>
      <c r="F11" s="12">
        <f>LOOKUP(E11,Total_wind_installed_capacity!$A$3:$A$28,Total_wind_installed_capacity!$H$3:$H$28)</f>
        <v>2.5305050000000002</v>
      </c>
      <c r="G11" s="3" t="s">
        <v>109</v>
      </c>
      <c r="H11" s="2" t="s">
        <v>343</v>
      </c>
      <c r="I11" s="3" t="s">
        <v>160</v>
      </c>
      <c r="J11" s="2">
        <v>100</v>
      </c>
      <c r="K11" s="2">
        <v>1</v>
      </c>
      <c r="L11" s="2">
        <f t="shared" si="4"/>
        <v>100</v>
      </c>
      <c r="M11" s="3" t="s">
        <v>180</v>
      </c>
      <c r="N11" s="13" t="s">
        <v>339</v>
      </c>
      <c r="O11" s="2"/>
      <c r="P11" s="2"/>
      <c r="Q11" s="2" t="s">
        <v>340</v>
      </c>
      <c r="R11" s="222">
        <f t="shared" si="5"/>
        <v>4966920</v>
      </c>
      <c r="S11" s="2"/>
      <c r="T11" s="206">
        <f t="shared" si="6"/>
        <v>1379700</v>
      </c>
      <c r="U11" s="2"/>
      <c r="V11" s="204">
        <f t="shared" si="7"/>
        <v>49.669199999999996</v>
      </c>
      <c r="W11" s="2"/>
      <c r="X11" s="204">
        <f t="shared" si="8"/>
        <v>13.797000000000001</v>
      </c>
      <c r="Y11" s="2"/>
      <c r="Z11" s="2"/>
      <c r="AA11" s="2"/>
      <c r="AB11" s="2"/>
      <c r="AC11" s="2"/>
      <c r="AD11" s="2"/>
      <c r="AE11" s="218">
        <f t="shared" si="9"/>
        <v>395697.96</v>
      </c>
      <c r="AF11" s="2"/>
      <c r="AG11" s="207">
        <f t="shared" si="10"/>
        <v>3.9569795999999999</v>
      </c>
      <c r="AH11" s="2"/>
      <c r="AI11" s="14">
        <v>0.315</v>
      </c>
      <c r="AJ11" s="205">
        <f t="shared" si="11"/>
        <v>275940</v>
      </c>
      <c r="AK11" s="2"/>
      <c r="AL11" s="2">
        <v>20</v>
      </c>
      <c r="AM11" s="206">
        <f t="shared" si="12"/>
        <v>5518800</v>
      </c>
      <c r="AN11" s="206">
        <f t="shared" si="13"/>
        <v>55188000</v>
      </c>
      <c r="AO11" s="3"/>
      <c r="AP11" s="2"/>
      <c r="AQ11" s="204">
        <v>4</v>
      </c>
      <c r="AR11" s="2"/>
      <c r="AS11" s="203">
        <f t="shared" si="14"/>
        <v>0.9</v>
      </c>
      <c r="AT11" s="2"/>
      <c r="AU11" s="203">
        <f t="shared" si="0"/>
        <v>0.25</v>
      </c>
      <c r="AV11" s="4"/>
      <c r="AW11" s="203">
        <f t="shared" si="1"/>
        <v>5</v>
      </c>
      <c r="AX11" s="3">
        <v>71.7</v>
      </c>
      <c r="AY11" s="2"/>
      <c r="AZ11" s="2"/>
    </row>
    <row r="12" spans="1:53" ht="19" customHeight="1">
      <c r="A12" s="1" t="s">
        <v>562</v>
      </c>
      <c r="B12" s="2" t="str">
        <f t="shared" si="2"/>
        <v>Lenzen</v>
      </c>
      <c r="C12" s="2">
        <v>1992</v>
      </c>
      <c r="D12" s="2"/>
      <c r="E12" s="11">
        <f t="shared" si="3"/>
        <v>1992</v>
      </c>
      <c r="F12" s="12">
        <f>LOOKUP(E12,Total_wind_installed_capacity!$A$3:$A$28,Total_wind_installed_capacity!$H$3:$H$28)</f>
        <v>2.6786549999999996</v>
      </c>
      <c r="G12" s="3" t="s">
        <v>109</v>
      </c>
      <c r="H12" s="2" t="s">
        <v>344</v>
      </c>
      <c r="I12" s="3" t="s">
        <v>160</v>
      </c>
      <c r="J12" s="2">
        <v>100</v>
      </c>
      <c r="K12" s="2">
        <v>1</v>
      </c>
      <c r="L12" s="2">
        <f t="shared" si="4"/>
        <v>100</v>
      </c>
      <c r="M12" s="3" t="s">
        <v>180</v>
      </c>
      <c r="N12" s="13" t="s">
        <v>339</v>
      </c>
      <c r="O12" s="2"/>
      <c r="P12" s="2"/>
      <c r="Q12" s="2" t="s">
        <v>340</v>
      </c>
      <c r="R12" s="222">
        <f t="shared" si="5"/>
        <v>6850924.1379310349</v>
      </c>
      <c r="S12" s="2"/>
      <c r="T12" s="206">
        <f t="shared" si="6"/>
        <v>1903034.4827586208</v>
      </c>
      <c r="U12" s="2"/>
      <c r="V12" s="204">
        <f t="shared" si="7"/>
        <v>68.509241379310353</v>
      </c>
      <c r="W12" s="2"/>
      <c r="X12" s="204">
        <f t="shared" si="8"/>
        <v>19.030344827586205</v>
      </c>
      <c r="Y12" s="2"/>
      <c r="Z12" s="2"/>
      <c r="AA12" s="2"/>
      <c r="AB12" s="2"/>
      <c r="AC12" s="2"/>
      <c r="AD12" s="2"/>
      <c r="AE12" s="218">
        <f t="shared" si="9"/>
        <v>527597.27999999991</v>
      </c>
      <c r="AF12" s="2"/>
      <c r="AG12" s="207">
        <f t="shared" si="10"/>
        <v>5.2759727999999999</v>
      </c>
      <c r="AH12" s="2"/>
      <c r="AI12" s="14">
        <v>0.315</v>
      </c>
      <c r="AJ12" s="205">
        <f t="shared" si="11"/>
        <v>275940</v>
      </c>
      <c r="AK12" s="2"/>
      <c r="AL12" s="2">
        <v>20</v>
      </c>
      <c r="AM12" s="206">
        <f t="shared" si="12"/>
        <v>5518800</v>
      </c>
      <c r="AN12" s="206">
        <f t="shared" si="13"/>
        <v>55188000</v>
      </c>
      <c r="AO12" s="3"/>
      <c r="AP12" s="2"/>
      <c r="AQ12" s="204">
        <v>2.9</v>
      </c>
      <c r="AR12" s="2"/>
      <c r="AS12" s="203">
        <f t="shared" si="14"/>
        <v>1.2413793103448276</v>
      </c>
      <c r="AT12" s="2"/>
      <c r="AU12" s="203">
        <f t="shared" si="0"/>
        <v>0.34482758620689657</v>
      </c>
      <c r="AV12" s="4"/>
      <c r="AW12" s="203">
        <f t="shared" si="1"/>
        <v>6.8965517241379315</v>
      </c>
      <c r="AX12" s="3">
        <v>95.6</v>
      </c>
      <c r="AY12" s="2"/>
      <c r="AZ12" s="2"/>
    </row>
    <row r="13" spans="1:53" ht="19" customHeight="1">
      <c r="A13" s="1" t="s">
        <v>562</v>
      </c>
      <c r="B13" s="2" t="str">
        <f t="shared" si="2"/>
        <v>Lenzen</v>
      </c>
      <c r="C13" s="2">
        <v>1992</v>
      </c>
      <c r="D13" s="2"/>
      <c r="E13" s="11">
        <f t="shared" si="3"/>
        <v>1992</v>
      </c>
      <c r="F13" s="12">
        <f>LOOKUP(E13,Total_wind_installed_capacity!$A$3:$A$28,Total_wind_installed_capacity!$H$3:$H$28)</f>
        <v>2.6786549999999996</v>
      </c>
      <c r="G13" s="3" t="s">
        <v>109</v>
      </c>
      <c r="H13" s="2" t="s">
        <v>344</v>
      </c>
      <c r="I13" s="3" t="s">
        <v>160</v>
      </c>
      <c r="J13" s="2">
        <v>100</v>
      </c>
      <c r="K13" s="2">
        <v>1</v>
      </c>
      <c r="L13" s="2">
        <f t="shared" si="4"/>
        <v>100</v>
      </c>
      <c r="M13" s="3" t="s">
        <v>180</v>
      </c>
      <c r="N13" s="13" t="s">
        <v>339</v>
      </c>
      <c r="O13" s="2">
        <v>30</v>
      </c>
      <c r="P13" s="2"/>
      <c r="Q13" s="2" t="s">
        <v>340</v>
      </c>
      <c r="R13" s="222">
        <f t="shared" si="5"/>
        <v>874265.34653465357</v>
      </c>
      <c r="S13" s="2"/>
      <c r="T13" s="206">
        <f t="shared" si="6"/>
        <v>242851.48514851488</v>
      </c>
      <c r="U13" s="2"/>
      <c r="V13" s="204">
        <f t="shared" si="7"/>
        <v>8.7426534653465353</v>
      </c>
      <c r="W13" s="2"/>
      <c r="X13" s="204">
        <f t="shared" si="8"/>
        <v>2.4285148514851489</v>
      </c>
      <c r="Y13" s="2"/>
      <c r="Z13" s="2"/>
      <c r="AA13" s="2"/>
      <c r="AB13" s="2"/>
      <c r="AC13" s="2"/>
      <c r="AD13" s="2"/>
      <c r="AE13" s="218">
        <f t="shared" si="9"/>
        <v>247978.08000000005</v>
      </c>
      <c r="AF13" s="2"/>
      <c r="AG13" s="207">
        <f t="shared" si="10"/>
        <v>2.4797808000000003</v>
      </c>
      <c r="AH13" s="2"/>
      <c r="AI13" s="14">
        <v>0.28000000000000003</v>
      </c>
      <c r="AJ13" s="205">
        <f t="shared" si="11"/>
        <v>245280.00000000003</v>
      </c>
      <c r="AK13" s="2"/>
      <c r="AL13" s="2">
        <v>30</v>
      </c>
      <c r="AM13" s="206">
        <f t="shared" si="12"/>
        <v>7358400.0000000009</v>
      </c>
      <c r="AN13" s="206">
        <f t="shared" si="13"/>
        <v>73584000.000000015</v>
      </c>
      <c r="AO13" s="3"/>
      <c r="AP13" s="2"/>
      <c r="AQ13" s="204">
        <v>30.3</v>
      </c>
      <c r="AR13" s="2"/>
      <c r="AS13" s="203">
        <f t="shared" si="14"/>
        <v>0.11881188118811881</v>
      </c>
      <c r="AT13" s="2"/>
      <c r="AU13" s="203">
        <f t="shared" si="0"/>
        <v>3.3003300330033E-2</v>
      </c>
      <c r="AV13" s="4"/>
      <c r="AW13" s="203">
        <f t="shared" si="1"/>
        <v>0.99009900990098998</v>
      </c>
      <c r="AX13" s="3">
        <v>33.700000000000003</v>
      </c>
      <c r="AY13" s="2"/>
      <c r="AZ13" s="2"/>
    </row>
    <row r="14" spans="1:53" ht="19" customHeight="1">
      <c r="A14" s="1" t="s">
        <v>562</v>
      </c>
      <c r="B14" s="2" t="str">
        <f t="shared" si="2"/>
        <v>Lenzen</v>
      </c>
      <c r="C14" s="2">
        <v>1992</v>
      </c>
      <c r="D14" s="2"/>
      <c r="E14" s="11">
        <f t="shared" si="3"/>
        <v>1992</v>
      </c>
      <c r="F14" s="12">
        <f>LOOKUP(E14,Total_wind_installed_capacity!$A$3:$A$28,Total_wind_installed_capacity!$H$3:$H$28)</f>
        <v>2.6786549999999996</v>
      </c>
      <c r="G14" s="3" t="s">
        <v>109</v>
      </c>
      <c r="H14" s="2" t="s">
        <v>344</v>
      </c>
      <c r="I14" s="3" t="s">
        <v>160</v>
      </c>
      <c r="J14" s="2">
        <v>100</v>
      </c>
      <c r="K14" s="2">
        <v>1</v>
      </c>
      <c r="L14" s="2">
        <f t="shared" si="4"/>
        <v>100</v>
      </c>
      <c r="M14" s="3" t="s">
        <v>180</v>
      </c>
      <c r="N14" s="13" t="s">
        <v>339</v>
      </c>
      <c r="O14" s="2">
        <v>30</v>
      </c>
      <c r="P14" s="2"/>
      <c r="Q14" s="2" t="s">
        <v>340</v>
      </c>
      <c r="R14" s="222">
        <f t="shared" si="5"/>
        <v>2045578.3783783785</v>
      </c>
      <c r="S14" s="2"/>
      <c r="T14" s="206">
        <f t="shared" si="6"/>
        <v>568216.21621621621</v>
      </c>
      <c r="U14" s="2"/>
      <c r="V14" s="204">
        <f t="shared" si="7"/>
        <v>20.455783783783783</v>
      </c>
      <c r="W14" s="2"/>
      <c r="X14" s="204">
        <f t="shared" si="8"/>
        <v>5.6821621621621627</v>
      </c>
      <c r="Y14" s="2"/>
      <c r="Z14" s="2"/>
      <c r="AA14" s="2"/>
      <c r="AB14" s="2"/>
      <c r="AC14" s="2"/>
      <c r="AD14" s="2"/>
      <c r="AE14" s="218">
        <f t="shared" si="9"/>
        <v>0</v>
      </c>
      <c r="AF14" s="2"/>
      <c r="AG14" s="207">
        <f t="shared" si="10"/>
        <v>0</v>
      </c>
      <c r="AH14" s="2"/>
      <c r="AI14" s="14">
        <v>0.4</v>
      </c>
      <c r="AJ14" s="205">
        <f t="shared" si="11"/>
        <v>350400</v>
      </c>
      <c r="AK14" s="2"/>
      <c r="AL14" s="2">
        <v>30</v>
      </c>
      <c r="AM14" s="206">
        <f t="shared" si="12"/>
        <v>10512000</v>
      </c>
      <c r="AN14" s="206">
        <f t="shared" si="13"/>
        <v>105120000</v>
      </c>
      <c r="AO14" s="3"/>
      <c r="AP14" s="2"/>
      <c r="AQ14" s="204">
        <v>18.5</v>
      </c>
      <c r="AR14" s="2"/>
      <c r="AS14" s="203">
        <f t="shared" si="14"/>
        <v>0.19459459459459461</v>
      </c>
      <c r="AT14" s="2"/>
      <c r="AU14" s="203">
        <f t="shared" si="0"/>
        <v>5.4054054054054057E-2</v>
      </c>
      <c r="AV14" s="4"/>
      <c r="AW14" s="203">
        <f t="shared" si="1"/>
        <v>1.6216216216216217</v>
      </c>
      <c r="AX14" s="3"/>
      <c r="AY14" s="2"/>
      <c r="AZ14" s="2"/>
    </row>
    <row r="15" spans="1:53" ht="19" customHeight="1">
      <c r="A15" s="1" t="s">
        <v>562</v>
      </c>
      <c r="B15" s="2" t="str">
        <f t="shared" si="2"/>
        <v>Lenzen</v>
      </c>
      <c r="C15" s="2">
        <v>1996</v>
      </c>
      <c r="D15" s="2"/>
      <c r="E15" s="11">
        <f t="shared" si="3"/>
        <v>1996</v>
      </c>
      <c r="F15" s="12">
        <f>LOOKUP(E15,Total_wind_installed_capacity!$A$3:$A$28,Total_wind_installed_capacity!$H$3:$H$28)</f>
        <v>5.6738550000000005</v>
      </c>
      <c r="G15" s="3" t="s">
        <v>109</v>
      </c>
      <c r="H15" s="2" t="s">
        <v>341</v>
      </c>
      <c r="I15" s="3" t="s">
        <v>160</v>
      </c>
      <c r="J15" s="2">
        <v>100</v>
      </c>
      <c r="K15" s="2">
        <v>1</v>
      </c>
      <c r="L15" s="2">
        <f t="shared" si="4"/>
        <v>100</v>
      </c>
      <c r="M15" s="3" t="s">
        <v>180</v>
      </c>
      <c r="N15" s="13" t="s">
        <v>339</v>
      </c>
      <c r="O15" s="2"/>
      <c r="P15" s="2"/>
      <c r="Q15" s="2" t="s">
        <v>340</v>
      </c>
      <c r="R15" s="222">
        <f t="shared" si="5"/>
        <v>8226782.6086956533</v>
      </c>
      <c r="S15" s="2"/>
      <c r="T15" s="206">
        <f t="shared" si="6"/>
        <v>2285217.3913043481</v>
      </c>
      <c r="U15" s="2"/>
      <c r="V15" s="204">
        <f t="shared" si="7"/>
        <v>82.267826086956532</v>
      </c>
      <c r="W15" s="2"/>
      <c r="X15" s="204">
        <f t="shared" si="8"/>
        <v>22.85217391304348</v>
      </c>
      <c r="Y15" s="2"/>
      <c r="Z15" s="2"/>
      <c r="AA15" s="2"/>
      <c r="AB15" s="2"/>
      <c r="AC15" s="2"/>
      <c r="AD15" s="2"/>
      <c r="AE15" s="218">
        <f t="shared" si="9"/>
        <v>649641.6</v>
      </c>
      <c r="AF15" s="2"/>
      <c r="AG15" s="207">
        <f t="shared" si="10"/>
        <v>6.496416</v>
      </c>
      <c r="AH15" s="2"/>
      <c r="AI15" s="14">
        <v>0.2</v>
      </c>
      <c r="AJ15" s="205">
        <f t="shared" si="11"/>
        <v>175200</v>
      </c>
      <c r="AK15" s="2"/>
      <c r="AL15" s="2">
        <v>30</v>
      </c>
      <c r="AM15" s="206">
        <f t="shared" si="12"/>
        <v>5256000</v>
      </c>
      <c r="AN15" s="206">
        <f t="shared" si="13"/>
        <v>52560000</v>
      </c>
      <c r="AO15" s="3"/>
      <c r="AP15" s="2"/>
      <c r="AQ15" s="204">
        <v>2.2999999999999998</v>
      </c>
      <c r="AR15" s="2"/>
      <c r="AS15" s="203">
        <f t="shared" si="14"/>
        <v>1.5652173913043481</v>
      </c>
      <c r="AT15" s="2"/>
      <c r="AU15" s="203">
        <f t="shared" si="0"/>
        <v>0.43478260869565222</v>
      </c>
      <c r="AV15" s="4"/>
      <c r="AW15" s="203">
        <f t="shared" si="1"/>
        <v>13.043478260869566</v>
      </c>
      <c r="AX15" s="3">
        <v>123.6</v>
      </c>
      <c r="AY15" s="2"/>
      <c r="AZ15" s="2"/>
    </row>
    <row r="16" spans="1:53" ht="19" customHeight="1">
      <c r="A16" s="1" t="s">
        <v>562</v>
      </c>
      <c r="B16" s="2" t="str">
        <f t="shared" si="2"/>
        <v>Lenzen</v>
      </c>
      <c r="C16" s="2">
        <v>1996</v>
      </c>
      <c r="D16" s="2" t="str">
        <f>M16</f>
        <v xml:space="preserve">1984 </v>
      </c>
      <c r="E16" s="11" t="str">
        <f t="shared" si="3"/>
        <v xml:space="preserve">1984 </v>
      </c>
      <c r="F16" s="12" t="e">
        <f>LOOKUP(E16,Total_wind_installed_capacity!$A$3:$A$28,Total_wind_installed_capacity!$H$3:$H$28)</f>
        <v>#N/A</v>
      </c>
      <c r="G16" s="3" t="s">
        <v>109</v>
      </c>
      <c r="H16" s="2" t="s">
        <v>341</v>
      </c>
      <c r="I16" s="3" t="s">
        <v>160</v>
      </c>
      <c r="J16" s="2">
        <v>100</v>
      </c>
      <c r="K16" s="2">
        <v>1</v>
      </c>
      <c r="L16" s="2">
        <f t="shared" si="4"/>
        <v>100</v>
      </c>
      <c r="M16" s="3" t="s">
        <v>345</v>
      </c>
      <c r="N16" s="13" t="s">
        <v>339</v>
      </c>
      <c r="O16" s="2">
        <v>30</v>
      </c>
      <c r="P16" s="2"/>
      <c r="Q16" s="2" t="s">
        <v>340</v>
      </c>
      <c r="R16" s="222">
        <f t="shared" si="5"/>
        <v>5160436.3636363633</v>
      </c>
      <c r="S16" s="2"/>
      <c r="T16" s="206">
        <f t="shared" si="6"/>
        <v>1433454.5454545454</v>
      </c>
      <c r="U16" s="2"/>
      <c r="V16" s="204">
        <f t="shared" si="7"/>
        <v>51.60436363636363</v>
      </c>
      <c r="W16" s="2"/>
      <c r="X16" s="204">
        <f t="shared" si="8"/>
        <v>14.334545454545454</v>
      </c>
      <c r="Y16" s="2"/>
      <c r="Z16" s="2"/>
      <c r="AA16" s="2"/>
      <c r="AB16" s="2"/>
      <c r="AC16" s="2"/>
      <c r="AD16" s="2"/>
      <c r="AE16" s="218">
        <f t="shared" si="9"/>
        <v>390100.32</v>
      </c>
      <c r="AF16" s="2"/>
      <c r="AG16" s="207">
        <f t="shared" si="10"/>
        <v>3.9010031999999999</v>
      </c>
      <c r="AH16" s="2"/>
      <c r="AI16" s="14">
        <v>0.18</v>
      </c>
      <c r="AJ16" s="205">
        <f t="shared" si="11"/>
        <v>157680</v>
      </c>
      <c r="AK16" s="2"/>
      <c r="AL16" s="2">
        <v>20</v>
      </c>
      <c r="AM16" s="206">
        <f t="shared" si="12"/>
        <v>3153600</v>
      </c>
      <c r="AN16" s="206">
        <f t="shared" si="13"/>
        <v>31536000</v>
      </c>
      <c r="AO16" s="3"/>
      <c r="AP16" s="2"/>
      <c r="AQ16" s="204">
        <v>2.2000000000000002</v>
      </c>
      <c r="AR16" s="2"/>
      <c r="AS16" s="203">
        <f t="shared" si="14"/>
        <v>1.6363636363636362</v>
      </c>
      <c r="AT16" s="2"/>
      <c r="AU16" s="203">
        <f t="shared" si="0"/>
        <v>0.45454545454545453</v>
      </c>
      <c r="AV16" s="4"/>
      <c r="AW16" s="203">
        <f t="shared" si="1"/>
        <v>9.0909090909090899</v>
      </c>
      <c r="AX16" s="3">
        <v>123.7</v>
      </c>
      <c r="AY16" s="2"/>
      <c r="AZ16" s="2"/>
    </row>
    <row r="17" spans="1:52" ht="19" customHeight="1">
      <c r="A17" s="1" t="s">
        <v>562</v>
      </c>
      <c r="B17" s="2" t="str">
        <f t="shared" si="2"/>
        <v>Lenzen</v>
      </c>
      <c r="C17" s="2">
        <v>2001</v>
      </c>
      <c r="D17" s="2"/>
      <c r="E17" s="11">
        <f t="shared" si="3"/>
        <v>2001</v>
      </c>
      <c r="F17" s="12">
        <f>LOOKUP(E17,Total_wind_installed_capacity!$A$3:$A$28,Total_wind_installed_capacity!$H$3:$H$28)</f>
        <v>23.324154999999998</v>
      </c>
      <c r="G17" s="3" t="s">
        <v>109</v>
      </c>
      <c r="H17" s="2" t="s">
        <v>343</v>
      </c>
      <c r="I17" s="3" t="s">
        <v>160</v>
      </c>
      <c r="J17" s="2">
        <v>100</v>
      </c>
      <c r="K17" s="2">
        <v>1</v>
      </c>
      <c r="L17" s="2">
        <f t="shared" si="4"/>
        <v>100</v>
      </c>
      <c r="M17" s="3" t="s">
        <v>180</v>
      </c>
      <c r="N17" s="13" t="s">
        <v>339</v>
      </c>
      <c r="O17" s="2">
        <v>30</v>
      </c>
      <c r="P17" s="2">
        <v>30</v>
      </c>
      <c r="Q17" s="2" t="s">
        <v>340</v>
      </c>
      <c r="R17" s="222">
        <f t="shared" si="5"/>
        <v>4354971.4285714282</v>
      </c>
      <c r="S17" s="2"/>
      <c r="T17" s="206">
        <f t="shared" si="6"/>
        <v>1209714.2857142857</v>
      </c>
      <c r="U17" s="2"/>
      <c r="V17" s="204">
        <f t="shared" si="7"/>
        <v>43.54971428571428</v>
      </c>
      <c r="W17" s="2"/>
      <c r="X17" s="204">
        <f t="shared" si="8"/>
        <v>12.097142857142856</v>
      </c>
      <c r="Y17" s="2"/>
      <c r="Z17" s="2"/>
      <c r="AA17" s="2"/>
      <c r="AB17" s="2"/>
      <c r="AC17" s="2"/>
      <c r="AD17" s="2"/>
      <c r="AE17" s="218">
        <f t="shared" si="9"/>
        <v>300275.28000000003</v>
      </c>
      <c r="AF17" s="2"/>
      <c r="AG17" s="207">
        <f t="shared" si="10"/>
        <v>1.7663251764705883</v>
      </c>
      <c r="AH17" s="2"/>
      <c r="AI17" s="14">
        <v>0.34799999999999998</v>
      </c>
      <c r="AJ17" s="205">
        <f t="shared" si="11"/>
        <v>304848</v>
      </c>
      <c r="AK17" s="2"/>
      <c r="AL17" s="2">
        <v>25</v>
      </c>
      <c r="AM17" s="206">
        <f t="shared" si="12"/>
        <v>7621200</v>
      </c>
      <c r="AN17" s="206">
        <f t="shared" si="13"/>
        <v>76212000</v>
      </c>
      <c r="AO17" s="3"/>
      <c r="AP17" s="2"/>
      <c r="AQ17" s="204">
        <v>6.3</v>
      </c>
      <c r="AR17" s="2"/>
      <c r="AS17" s="203">
        <f t="shared" si="14"/>
        <v>0.5714285714285714</v>
      </c>
      <c r="AT17" s="2"/>
      <c r="AU17" s="203">
        <f t="shared" si="0"/>
        <v>0.15873015873015872</v>
      </c>
      <c r="AV17" s="4"/>
      <c r="AW17" s="203">
        <f t="shared" si="1"/>
        <v>3.9682539682539679</v>
      </c>
      <c r="AX17" s="3">
        <v>39.4</v>
      </c>
      <c r="AY17" s="2"/>
      <c r="AZ17" s="2"/>
    </row>
    <row r="18" spans="1:52" ht="19" customHeight="1">
      <c r="A18" s="1" t="s">
        <v>562</v>
      </c>
      <c r="B18" s="2" t="str">
        <f t="shared" si="2"/>
        <v>Lenzen</v>
      </c>
      <c r="C18" s="2">
        <v>1996</v>
      </c>
      <c r="D18" s="2"/>
      <c r="E18" s="11">
        <f t="shared" si="3"/>
        <v>1996</v>
      </c>
      <c r="F18" s="12">
        <f>LOOKUP(E18,Total_wind_installed_capacity!$A$3:$A$28,Total_wind_installed_capacity!$H$3:$H$28)</f>
        <v>5.6738550000000005</v>
      </c>
      <c r="G18" s="3" t="s">
        <v>109</v>
      </c>
      <c r="H18" s="2" t="s">
        <v>341</v>
      </c>
      <c r="I18" s="3" t="s">
        <v>160</v>
      </c>
      <c r="J18" s="2">
        <v>170</v>
      </c>
      <c r="K18" s="2">
        <v>1</v>
      </c>
      <c r="L18" s="2">
        <f t="shared" si="4"/>
        <v>170</v>
      </c>
      <c r="M18" s="3" t="s">
        <v>180</v>
      </c>
      <c r="N18" s="13" t="s">
        <v>339</v>
      </c>
      <c r="O18" s="2">
        <v>27</v>
      </c>
      <c r="P18" s="2"/>
      <c r="Q18" s="2" t="s">
        <v>340</v>
      </c>
      <c r="R18" s="222">
        <f t="shared" si="5"/>
        <v>4159489.6551724141</v>
      </c>
      <c r="S18" s="2"/>
      <c r="T18" s="206">
        <f t="shared" si="6"/>
        <v>1155413.7931034483</v>
      </c>
      <c r="U18" s="2"/>
      <c r="V18" s="204">
        <f t="shared" si="7"/>
        <v>24.467586206896556</v>
      </c>
      <c r="W18" s="2"/>
      <c r="X18" s="204">
        <f t="shared" si="8"/>
        <v>6.796551724137931</v>
      </c>
      <c r="Y18" s="2"/>
      <c r="Z18" s="2"/>
      <c r="AA18" s="2"/>
      <c r="AB18" s="2"/>
      <c r="AC18" s="2"/>
      <c r="AD18" s="2"/>
      <c r="AE18" s="218">
        <f t="shared" si="9"/>
        <v>317646.36</v>
      </c>
      <c r="AF18" s="2"/>
      <c r="AG18" s="207">
        <f t="shared" si="10"/>
        <v>1.0588211999999999</v>
      </c>
      <c r="AH18" s="2"/>
      <c r="AI18" s="14">
        <v>0.22500000000000001</v>
      </c>
      <c r="AJ18" s="205">
        <f t="shared" si="11"/>
        <v>335070</v>
      </c>
      <c r="AK18" s="2"/>
      <c r="AL18" s="2">
        <v>20</v>
      </c>
      <c r="AM18" s="206">
        <f t="shared" si="12"/>
        <v>6701400</v>
      </c>
      <c r="AN18" s="206">
        <f t="shared" si="13"/>
        <v>39420000</v>
      </c>
      <c r="AO18" s="3"/>
      <c r="AP18" s="2"/>
      <c r="AQ18" s="204">
        <v>5.8</v>
      </c>
      <c r="AR18" s="2"/>
      <c r="AS18" s="203">
        <f t="shared" si="14"/>
        <v>0.62068965517241381</v>
      </c>
      <c r="AT18" s="2"/>
      <c r="AU18" s="203">
        <f t="shared" si="0"/>
        <v>0.17241379310344829</v>
      </c>
      <c r="AV18" s="4"/>
      <c r="AW18" s="203">
        <f t="shared" si="1"/>
        <v>3.4482758620689657</v>
      </c>
      <c r="AX18" s="3">
        <v>47.4</v>
      </c>
      <c r="AY18" s="2"/>
      <c r="AZ18" s="2"/>
    </row>
    <row r="19" spans="1:52" ht="19" customHeight="1">
      <c r="A19" s="1" t="s">
        <v>562</v>
      </c>
      <c r="B19" s="2" t="str">
        <f t="shared" si="2"/>
        <v>Lenzen</v>
      </c>
      <c r="C19" s="2">
        <v>1996</v>
      </c>
      <c r="D19" s="2"/>
      <c r="E19" s="11">
        <f t="shared" si="3"/>
        <v>1996</v>
      </c>
      <c r="F19" s="12">
        <f>LOOKUP(E19,Total_wind_installed_capacity!$A$3:$A$28,Total_wind_installed_capacity!$H$3:$H$28)</f>
        <v>5.6738550000000005</v>
      </c>
      <c r="G19" s="3" t="s">
        <v>109</v>
      </c>
      <c r="H19" s="2" t="s">
        <v>341</v>
      </c>
      <c r="I19" s="3" t="s">
        <v>160</v>
      </c>
      <c r="J19" s="2">
        <v>300</v>
      </c>
      <c r="K19" s="2">
        <v>1</v>
      </c>
      <c r="L19" s="2">
        <f t="shared" si="4"/>
        <v>300</v>
      </c>
      <c r="M19" s="3" t="s">
        <v>180</v>
      </c>
      <c r="N19" s="13" t="s">
        <v>339</v>
      </c>
      <c r="O19" s="2">
        <v>28</v>
      </c>
      <c r="P19" s="2"/>
      <c r="Q19" s="2" t="s">
        <v>340</v>
      </c>
      <c r="R19" s="222">
        <f t="shared" si="5"/>
        <v>4006927.0588235292</v>
      </c>
      <c r="S19" s="2"/>
      <c r="T19" s="206">
        <f t="shared" si="6"/>
        <v>1113035.294117647</v>
      </c>
      <c r="U19" s="2"/>
      <c r="V19" s="204">
        <f t="shared" si="7"/>
        <v>13.356423529411764</v>
      </c>
      <c r="W19" s="2"/>
      <c r="X19" s="204">
        <f t="shared" si="8"/>
        <v>3.7101176470588233</v>
      </c>
      <c r="Y19" s="2"/>
      <c r="Z19" s="2"/>
      <c r="AA19" s="2"/>
      <c r="AB19" s="2"/>
      <c r="AC19" s="2"/>
      <c r="AD19" s="2"/>
      <c r="AE19" s="218">
        <f t="shared" si="9"/>
        <v>330181.92</v>
      </c>
      <c r="AF19" s="2"/>
      <c r="AG19" s="207">
        <f t="shared" si="10"/>
        <v>0.964034802919708</v>
      </c>
      <c r="AH19" s="2"/>
      <c r="AI19" s="14">
        <v>0.18</v>
      </c>
      <c r="AJ19" s="205">
        <f t="shared" si="11"/>
        <v>473040</v>
      </c>
      <c r="AK19" s="2"/>
      <c r="AL19" s="2">
        <v>20</v>
      </c>
      <c r="AM19" s="206">
        <f t="shared" si="12"/>
        <v>9460800</v>
      </c>
      <c r="AN19" s="206">
        <f t="shared" si="13"/>
        <v>31536000</v>
      </c>
      <c r="AO19" s="3"/>
      <c r="AP19" s="2"/>
      <c r="AQ19" s="204">
        <v>8.5</v>
      </c>
      <c r="AR19" s="2"/>
      <c r="AS19" s="203">
        <f t="shared" si="14"/>
        <v>0.42352941176470588</v>
      </c>
      <c r="AT19" s="2"/>
      <c r="AU19" s="203">
        <f t="shared" si="0"/>
        <v>0.11764705882352941</v>
      </c>
      <c r="AV19" s="4"/>
      <c r="AW19" s="203">
        <f t="shared" si="1"/>
        <v>2.3529411764705883</v>
      </c>
      <c r="AX19" s="3">
        <v>34.9</v>
      </c>
      <c r="AY19" s="2"/>
      <c r="AZ19" s="2"/>
    </row>
    <row r="20" spans="1:52" ht="19" customHeight="1">
      <c r="A20" s="1" t="s">
        <v>563</v>
      </c>
      <c r="B20" s="2" t="str">
        <f t="shared" si="2"/>
        <v>White</v>
      </c>
      <c r="C20" s="2">
        <v>1999</v>
      </c>
      <c r="D20" s="2"/>
      <c r="E20" s="11">
        <f t="shared" si="3"/>
        <v>1999</v>
      </c>
      <c r="F20" s="12">
        <f>LOOKUP(E20,Total_wind_installed_capacity!$A$3:$A$28,Total_wind_installed_capacity!$H$3:$H$28)</f>
        <v>12.372099999999998</v>
      </c>
      <c r="G20" s="3" t="s">
        <v>109</v>
      </c>
      <c r="H20" s="2" t="s">
        <v>346</v>
      </c>
      <c r="I20" s="3" t="s">
        <v>214</v>
      </c>
      <c r="J20" s="2">
        <v>342.5</v>
      </c>
      <c r="K20" s="2">
        <v>1</v>
      </c>
      <c r="L20" s="2">
        <f t="shared" si="4"/>
        <v>342.5</v>
      </c>
      <c r="M20" s="3" t="s">
        <v>347</v>
      </c>
      <c r="N20" s="2" t="s">
        <v>348</v>
      </c>
      <c r="O20" s="2">
        <v>32.9</v>
      </c>
      <c r="P20" s="2">
        <v>36.6</v>
      </c>
      <c r="Q20" s="2" t="s">
        <v>340</v>
      </c>
      <c r="R20" s="222">
        <f t="shared" si="5"/>
        <v>3381207.6521739131</v>
      </c>
      <c r="S20" s="2"/>
      <c r="T20" s="206">
        <f t="shared" si="6"/>
        <v>939224.34782608692</v>
      </c>
      <c r="U20" s="2"/>
      <c r="V20" s="204">
        <f t="shared" si="7"/>
        <v>9.8721391304347836</v>
      </c>
      <c r="W20" s="2"/>
      <c r="X20" s="204">
        <f t="shared" si="8"/>
        <v>2.7422608695652175</v>
      </c>
      <c r="Y20" s="2"/>
      <c r="Z20" s="2"/>
      <c r="AA20" s="2"/>
      <c r="AB20" s="2"/>
      <c r="AC20" s="2"/>
      <c r="AD20" s="2"/>
      <c r="AE20" s="218">
        <f t="shared" si="9"/>
        <v>311071.10399999999</v>
      </c>
      <c r="AF20" s="2"/>
      <c r="AG20" s="207">
        <f t="shared" si="10"/>
        <v>0.77767776</v>
      </c>
      <c r="AH20" s="2"/>
      <c r="AI20" s="14">
        <v>0.24</v>
      </c>
      <c r="AJ20" s="205">
        <f t="shared" si="11"/>
        <v>720072</v>
      </c>
      <c r="AK20" s="2"/>
      <c r="AL20" s="2">
        <v>30</v>
      </c>
      <c r="AM20" s="206">
        <f t="shared" si="12"/>
        <v>21602160</v>
      </c>
      <c r="AN20" s="206">
        <f t="shared" si="13"/>
        <v>63072000</v>
      </c>
      <c r="AO20" s="3"/>
      <c r="AP20" s="2"/>
      <c r="AQ20" s="204">
        <v>23</v>
      </c>
      <c r="AR20" s="2"/>
      <c r="AS20" s="203">
        <f t="shared" si="14"/>
        <v>0.15652173913043479</v>
      </c>
      <c r="AT20" s="2"/>
      <c r="AU20" s="203">
        <f t="shared" si="0"/>
        <v>4.3478260869565216E-2</v>
      </c>
      <c r="AV20" s="4"/>
      <c r="AW20" s="203">
        <f t="shared" si="1"/>
        <v>1.3043478260869565</v>
      </c>
      <c r="AX20" s="3">
        <v>14.4</v>
      </c>
      <c r="AY20" s="2"/>
      <c r="AZ20" s="2"/>
    </row>
    <row r="21" spans="1:52" ht="19" customHeight="1">
      <c r="A21" s="1" t="s">
        <v>562</v>
      </c>
      <c r="B21" s="2" t="str">
        <f t="shared" si="2"/>
        <v>Lenzen</v>
      </c>
      <c r="C21" s="2">
        <v>1996</v>
      </c>
      <c r="D21" s="2"/>
      <c r="E21" s="11">
        <f t="shared" si="3"/>
        <v>1996</v>
      </c>
      <c r="F21" s="12">
        <f>LOOKUP(E21,Total_wind_installed_capacity!$A$3:$A$28,Total_wind_installed_capacity!$H$3:$H$28)</f>
        <v>5.6738550000000005</v>
      </c>
      <c r="G21" s="3" t="s">
        <v>109</v>
      </c>
      <c r="H21" s="2" t="s">
        <v>341</v>
      </c>
      <c r="I21" s="3" t="s">
        <v>160</v>
      </c>
      <c r="J21" s="2">
        <v>400</v>
      </c>
      <c r="K21" s="2">
        <v>1</v>
      </c>
      <c r="L21" s="2">
        <f t="shared" si="4"/>
        <v>400</v>
      </c>
      <c r="M21" s="3" t="s">
        <v>180</v>
      </c>
      <c r="N21" s="13" t="s">
        <v>339</v>
      </c>
      <c r="O21" s="2">
        <v>31</v>
      </c>
      <c r="P21" s="2"/>
      <c r="Q21" s="2" t="s">
        <v>340</v>
      </c>
      <c r="R21" s="222">
        <f t="shared" si="5"/>
        <v>3983494.7368421052</v>
      </c>
      <c r="S21" s="2"/>
      <c r="T21" s="206">
        <f t="shared" si="6"/>
        <v>1106526.3157894737</v>
      </c>
      <c r="U21" s="2"/>
      <c r="V21" s="204">
        <f t="shared" si="7"/>
        <v>9.9587368421052638</v>
      </c>
      <c r="W21" s="2"/>
      <c r="X21" s="204">
        <f t="shared" si="8"/>
        <v>2.7663157894736843</v>
      </c>
      <c r="Y21" s="2"/>
      <c r="Z21" s="2"/>
      <c r="AA21" s="2"/>
      <c r="AB21" s="2"/>
      <c r="AC21" s="2"/>
      <c r="AD21" s="2"/>
      <c r="AE21" s="218">
        <f t="shared" si="9"/>
        <v>304007.03999999998</v>
      </c>
      <c r="AF21" s="2"/>
      <c r="AG21" s="207">
        <f t="shared" si="10"/>
        <v>0.6080140799999999</v>
      </c>
      <c r="AH21" s="2"/>
      <c r="AI21" s="14">
        <v>0.18</v>
      </c>
      <c r="AJ21" s="205">
        <f t="shared" si="11"/>
        <v>630720</v>
      </c>
      <c r="AK21" s="2"/>
      <c r="AL21" s="2">
        <v>20</v>
      </c>
      <c r="AM21" s="206">
        <f t="shared" si="12"/>
        <v>12614400</v>
      </c>
      <c r="AN21" s="206">
        <f t="shared" si="13"/>
        <v>31536000</v>
      </c>
      <c r="AO21" s="3"/>
      <c r="AP21" s="2"/>
      <c r="AQ21" s="204">
        <v>11.4</v>
      </c>
      <c r="AR21" s="2"/>
      <c r="AS21" s="203">
        <f t="shared" si="14"/>
        <v>0.31578947368421051</v>
      </c>
      <c r="AT21" s="2"/>
      <c r="AU21" s="203">
        <f t="shared" si="0"/>
        <v>8.771929824561403E-2</v>
      </c>
      <c r="AV21" s="4"/>
      <c r="AW21" s="203">
        <f t="shared" si="1"/>
        <v>1.7543859649122806</v>
      </c>
      <c r="AX21" s="3">
        <v>24.1</v>
      </c>
      <c r="AY21" s="2"/>
      <c r="AZ21" s="2"/>
    </row>
    <row r="22" spans="1:52" ht="19" customHeight="1">
      <c r="A22" s="1" t="s">
        <v>562</v>
      </c>
      <c r="B22" s="2" t="str">
        <f t="shared" si="2"/>
        <v>Lenzen</v>
      </c>
      <c r="C22" s="2">
        <v>1994</v>
      </c>
      <c r="D22" s="2"/>
      <c r="E22" s="11">
        <f t="shared" si="3"/>
        <v>1994</v>
      </c>
      <c r="F22" s="12">
        <f>LOOKUP(E22,Total_wind_installed_capacity!$A$3:$A$28,Total_wind_installed_capacity!$H$3:$H$28)</f>
        <v>3.343855</v>
      </c>
      <c r="G22" s="3" t="s">
        <v>109</v>
      </c>
      <c r="H22" s="2" t="s">
        <v>338</v>
      </c>
      <c r="I22" s="3" t="s">
        <v>212</v>
      </c>
      <c r="J22" s="2">
        <v>500</v>
      </c>
      <c r="K22" s="2">
        <v>1</v>
      </c>
      <c r="L22" s="2">
        <f t="shared" si="4"/>
        <v>500</v>
      </c>
      <c r="M22" s="3" t="s">
        <v>180</v>
      </c>
      <c r="N22" s="13" t="s">
        <v>339</v>
      </c>
      <c r="O22" s="2"/>
      <c r="P22" s="2"/>
      <c r="Q22" s="2" t="s">
        <v>340</v>
      </c>
      <c r="R22" s="222">
        <f t="shared" si="5"/>
        <v>0</v>
      </c>
      <c r="S22" s="2"/>
      <c r="T22" s="206">
        <f t="shared" si="6"/>
        <v>0</v>
      </c>
      <c r="U22" s="2"/>
      <c r="V22" s="204">
        <f t="shared" si="7"/>
        <v>0</v>
      </c>
      <c r="W22" s="2"/>
      <c r="X22" s="204">
        <f t="shared" si="8"/>
        <v>0</v>
      </c>
      <c r="Y22" s="2"/>
      <c r="Z22" s="2"/>
      <c r="AA22" s="2"/>
      <c r="AB22" s="2"/>
      <c r="AC22" s="2"/>
      <c r="AD22" s="2"/>
      <c r="AE22" s="218">
        <f t="shared" si="9"/>
        <v>436843.67999999993</v>
      </c>
      <c r="AF22" s="2"/>
      <c r="AG22" s="207">
        <f t="shared" si="10"/>
        <v>0.87368735999999991</v>
      </c>
      <c r="AH22" s="2"/>
      <c r="AI22" s="14">
        <v>0.27399999999999997</v>
      </c>
      <c r="AJ22" s="205">
        <f t="shared" si="11"/>
        <v>1200119.9999999998</v>
      </c>
      <c r="AK22" s="2"/>
      <c r="AL22" s="2">
        <v>20</v>
      </c>
      <c r="AM22" s="206">
        <f t="shared" si="12"/>
        <v>24002399.999999996</v>
      </c>
      <c r="AN22" s="206">
        <f t="shared" si="13"/>
        <v>48004799.999999993</v>
      </c>
      <c r="AO22" s="3"/>
      <c r="AP22" s="2"/>
      <c r="AQ22" s="204"/>
      <c r="AR22" s="2"/>
      <c r="AS22" s="203">
        <f t="shared" si="14"/>
        <v>0</v>
      </c>
      <c r="AT22" s="2"/>
      <c r="AU22" s="203"/>
      <c r="AV22" s="4"/>
      <c r="AW22" s="203">
        <f t="shared" si="1"/>
        <v>0</v>
      </c>
      <c r="AX22" s="3">
        <v>18.2</v>
      </c>
      <c r="AY22" s="2"/>
      <c r="AZ22" s="2"/>
    </row>
    <row r="23" spans="1:52" ht="19" customHeight="1">
      <c r="A23" s="1" t="s">
        <v>562</v>
      </c>
      <c r="B23" s="2" t="str">
        <f t="shared" si="2"/>
        <v>Lenzen</v>
      </c>
      <c r="C23" s="2">
        <v>1998</v>
      </c>
      <c r="D23" s="2"/>
      <c r="E23" s="11">
        <f t="shared" si="3"/>
        <v>1998</v>
      </c>
      <c r="F23" s="12">
        <f>LOOKUP(E23,Total_wind_installed_capacity!$A$3:$A$28,Total_wind_installed_capacity!$H$3:$H$28)</f>
        <v>8.7342999999999993</v>
      </c>
      <c r="G23" s="3" t="s">
        <v>109</v>
      </c>
      <c r="H23" s="2" t="s">
        <v>349</v>
      </c>
      <c r="I23" s="3" t="s">
        <v>212</v>
      </c>
      <c r="J23" s="2">
        <v>500</v>
      </c>
      <c r="K23" s="2">
        <v>1</v>
      </c>
      <c r="L23" s="2">
        <f t="shared" si="4"/>
        <v>500</v>
      </c>
      <c r="M23" s="3" t="s">
        <v>350</v>
      </c>
      <c r="N23" s="13" t="s">
        <v>339</v>
      </c>
      <c r="O23" s="2">
        <v>40.299999999999997</v>
      </c>
      <c r="P23" s="2">
        <v>44</v>
      </c>
      <c r="Q23" s="2" t="s">
        <v>340</v>
      </c>
      <c r="R23" s="222">
        <f t="shared" si="5"/>
        <v>6061464.9350649361</v>
      </c>
      <c r="S23" s="2"/>
      <c r="T23" s="206">
        <f t="shared" si="6"/>
        <v>1683740.25974026</v>
      </c>
      <c r="U23" s="2"/>
      <c r="V23" s="204">
        <f t="shared" si="7"/>
        <v>12.122929870129871</v>
      </c>
      <c r="W23" s="2"/>
      <c r="X23" s="204">
        <f t="shared" si="8"/>
        <v>3.36748051948052</v>
      </c>
      <c r="Y23" s="2"/>
      <c r="Z23" s="2"/>
      <c r="AA23" s="2"/>
      <c r="AB23" s="2"/>
      <c r="AC23" s="2"/>
      <c r="AD23" s="2"/>
      <c r="AE23" s="218">
        <f t="shared" si="9"/>
        <v>0</v>
      </c>
      <c r="AF23" s="2"/>
      <c r="AG23" s="207">
        <f t="shared" si="10"/>
        <v>0</v>
      </c>
      <c r="AH23" s="2"/>
      <c r="AI23" s="14">
        <v>0.29600000000000004</v>
      </c>
      <c r="AJ23" s="205">
        <f t="shared" si="11"/>
        <v>1296480.0000000002</v>
      </c>
      <c r="AK23" s="2"/>
      <c r="AL23" s="2">
        <v>20</v>
      </c>
      <c r="AM23" s="206">
        <f t="shared" si="12"/>
        <v>25929600.000000004</v>
      </c>
      <c r="AN23" s="206">
        <f t="shared" si="13"/>
        <v>51859200.000000007</v>
      </c>
      <c r="AO23" s="3"/>
      <c r="AP23" s="2"/>
      <c r="AQ23" s="204">
        <v>15.4</v>
      </c>
      <c r="AR23" s="2"/>
      <c r="AS23" s="203">
        <f t="shared" si="14"/>
        <v>0.23376623376623376</v>
      </c>
      <c r="AT23" s="2"/>
      <c r="AU23" s="203">
        <f t="shared" ref="AU23:AU30" si="16">1/AQ23</f>
        <v>6.4935064935064929E-2</v>
      </c>
      <c r="AV23" s="4"/>
      <c r="AW23" s="203">
        <f t="shared" si="1"/>
        <v>1.2987012987012987</v>
      </c>
      <c r="AX23" s="3"/>
      <c r="AY23" s="2"/>
      <c r="AZ23" s="2"/>
    </row>
    <row r="24" spans="1:52" ht="19" customHeight="1">
      <c r="A24" s="1" t="s">
        <v>562</v>
      </c>
      <c r="B24" s="2" t="str">
        <f t="shared" si="2"/>
        <v>Lenzen</v>
      </c>
      <c r="C24" s="2">
        <v>2001</v>
      </c>
      <c r="D24" s="2"/>
      <c r="E24" s="11">
        <f t="shared" si="3"/>
        <v>2001</v>
      </c>
      <c r="F24" s="12">
        <f>LOOKUP(E24,Total_wind_installed_capacity!$A$3:$A$28,Total_wind_installed_capacity!$H$3:$H$28)</f>
        <v>23.324154999999998</v>
      </c>
      <c r="G24" s="3" t="s">
        <v>109</v>
      </c>
      <c r="H24" s="2" t="s">
        <v>349</v>
      </c>
      <c r="I24" s="3" t="s">
        <v>266</v>
      </c>
      <c r="J24" s="2">
        <v>500</v>
      </c>
      <c r="K24" s="2">
        <v>1</v>
      </c>
      <c r="L24" s="2">
        <f t="shared" si="4"/>
        <v>500</v>
      </c>
      <c r="M24" s="3" t="s">
        <v>351</v>
      </c>
      <c r="N24" s="13" t="s">
        <v>339</v>
      </c>
      <c r="O24" s="2">
        <v>40.299999999999997</v>
      </c>
      <c r="P24" s="2">
        <v>44</v>
      </c>
      <c r="Q24" s="2" t="s">
        <v>340</v>
      </c>
      <c r="R24" s="222">
        <f t="shared" si="5"/>
        <v>6437693.793103449</v>
      </c>
      <c r="S24" s="2"/>
      <c r="T24" s="206">
        <f t="shared" si="6"/>
        <v>1788248.2758620691</v>
      </c>
      <c r="U24" s="2"/>
      <c r="V24" s="204">
        <f t="shared" si="7"/>
        <v>12.875387586206898</v>
      </c>
      <c r="W24" s="2"/>
      <c r="X24" s="204">
        <f t="shared" si="8"/>
        <v>3.5764965517241381</v>
      </c>
      <c r="Y24" s="2"/>
      <c r="Z24" s="2"/>
      <c r="AA24" s="2"/>
      <c r="AB24" s="2"/>
      <c r="AC24" s="2"/>
      <c r="AD24" s="2"/>
      <c r="AE24" s="218">
        <f t="shared" si="9"/>
        <v>0</v>
      </c>
      <c r="AF24" s="2"/>
      <c r="AG24" s="207">
        <f t="shared" si="10"/>
        <v>0</v>
      </c>
      <c r="AH24" s="2"/>
      <c r="AI24" s="14">
        <v>0.29600000000000004</v>
      </c>
      <c r="AJ24" s="205">
        <f t="shared" si="11"/>
        <v>1296480.0000000002</v>
      </c>
      <c r="AK24" s="2"/>
      <c r="AL24" s="2">
        <v>20</v>
      </c>
      <c r="AM24" s="206">
        <f t="shared" si="12"/>
        <v>25929600.000000004</v>
      </c>
      <c r="AN24" s="206">
        <f t="shared" si="13"/>
        <v>51859200.000000007</v>
      </c>
      <c r="AO24" s="3"/>
      <c r="AP24" s="2"/>
      <c r="AQ24" s="204">
        <v>14.5</v>
      </c>
      <c r="AR24" s="2"/>
      <c r="AS24" s="203">
        <f t="shared" si="14"/>
        <v>0.24827586206896551</v>
      </c>
      <c r="AT24" s="2"/>
      <c r="AU24" s="203">
        <f t="shared" si="16"/>
        <v>6.8965517241379309E-2</v>
      </c>
      <c r="AV24" s="4"/>
      <c r="AW24" s="203">
        <f t="shared" si="1"/>
        <v>1.3793103448275863</v>
      </c>
      <c r="AX24" s="3"/>
      <c r="AY24" s="2"/>
      <c r="AZ24" s="2"/>
    </row>
    <row r="25" spans="1:52" ht="19" customHeight="1">
      <c r="A25" s="1" t="s">
        <v>562</v>
      </c>
      <c r="B25" s="2" t="str">
        <f t="shared" si="2"/>
        <v>Lenzen</v>
      </c>
      <c r="C25" s="2">
        <v>1997</v>
      </c>
      <c r="D25" s="2"/>
      <c r="E25" s="11">
        <f t="shared" si="3"/>
        <v>1997</v>
      </c>
      <c r="F25" s="12">
        <f>LOOKUP(E25,Total_wind_installed_capacity!$A$3:$A$28,Total_wind_installed_capacity!$H$3:$H$28)</f>
        <v>6.7156999999999991</v>
      </c>
      <c r="G25" s="3" t="s">
        <v>109</v>
      </c>
      <c r="H25" s="2" t="s">
        <v>352</v>
      </c>
      <c r="I25" s="3" t="s">
        <v>205</v>
      </c>
      <c r="J25" s="2">
        <v>600</v>
      </c>
      <c r="K25" s="2">
        <v>1</v>
      </c>
      <c r="L25" s="2">
        <f t="shared" si="4"/>
        <v>600</v>
      </c>
      <c r="M25" s="3" t="s">
        <v>350</v>
      </c>
      <c r="N25" s="13" t="s">
        <v>339</v>
      </c>
      <c r="O25" s="2">
        <v>47</v>
      </c>
      <c r="P25" s="2">
        <v>50</v>
      </c>
      <c r="Q25" s="2" t="s">
        <v>340</v>
      </c>
      <c r="R25" s="222">
        <f t="shared" si="5"/>
        <v>3714240</v>
      </c>
      <c r="S25" s="2"/>
      <c r="T25" s="206">
        <f t="shared" si="6"/>
        <v>1031733.3333333333</v>
      </c>
      <c r="U25" s="2"/>
      <c r="V25" s="204">
        <f t="shared" si="7"/>
        <v>6.1903999999999995</v>
      </c>
      <c r="W25" s="2"/>
      <c r="X25" s="204">
        <f t="shared" si="8"/>
        <v>1.7195555555555555</v>
      </c>
      <c r="Y25" s="2"/>
      <c r="Z25" s="2"/>
      <c r="AA25" s="2"/>
      <c r="AB25" s="2"/>
      <c r="AC25" s="2"/>
      <c r="AD25" s="2"/>
      <c r="AE25" s="218">
        <f t="shared" si="9"/>
        <v>0</v>
      </c>
      <c r="AF25" s="2"/>
      <c r="AG25" s="207">
        <f t="shared" si="10"/>
        <v>0</v>
      </c>
      <c r="AH25" s="2"/>
      <c r="AI25" s="14">
        <v>0.26500000000000001</v>
      </c>
      <c r="AJ25" s="205">
        <f t="shared" si="11"/>
        <v>1392840</v>
      </c>
      <c r="AK25" s="2"/>
      <c r="AL25" s="2">
        <v>20</v>
      </c>
      <c r="AM25" s="206">
        <f t="shared" si="12"/>
        <v>27856800</v>
      </c>
      <c r="AN25" s="206">
        <f t="shared" si="13"/>
        <v>46428000</v>
      </c>
      <c r="AO25" s="3"/>
      <c r="AP25" s="2"/>
      <c r="AQ25" s="204">
        <v>27</v>
      </c>
      <c r="AR25" s="2"/>
      <c r="AS25" s="203">
        <f t="shared" si="14"/>
        <v>0.13333333333333333</v>
      </c>
      <c r="AT25" s="2"/>
      <c r="AU25" s="203">
        <f t="shared" si="16"/>
        <v>3.7037037037037035E-2</v>
      </c>
      <c r="AV25" s="4"/>
      <c r="AW25" s="203">
        <f t="shared" si="1"/>
        <v>0.7407407407407407</v>
      </c>
      <c r="AX25" s="3"/>
      <c r="AY25" s="2"/>
      <c r="AZ25" s="2"/>
    </row>
    <row r="26" spans="1:52" ht="19" customHeight="1">
      <c r="A26" s="1" t="s">
        <v>563</v>
      </c>
      <c r="B26" s="2" t="str">
        <f t="shared" si="2"/>
        <v>White</v>
      </c>
      <c r="C26" s="2">
        <v>1999</v>
      </c>
      <c r="D26" s="2"/>
      <c r="E26" s="11">
        <f t="shared" si="3"/>
        <v>1999</v>
      </c>
      <c r="F26" s="12">
        <f>LOOKUP(E26,Total_wind_installed_capacity!$A$3:$A$28,Total_wind_installed_capacity!$H$3:$H$28)</f>
        <v>12.372099999999998</v>
      </c>
      <c r="G26" s="3" t="s">
        <v>109</v>
      </c>
      <c r="H26" s="2" t="s">
        <v>346</v>
      </c>
      <c r="I26" s="3" t="s">
        <v>214</v>
      </c>
      <c r="J26" s="2">
        <v>600</v>
      </c>
      <c r="K26" s="2">
        <v>1</v>
      </c>
      <c r="L26" s="2">
        <f t="shared" si="4"/>
        <v>600</v>
      </c>
      <c r="M26" s="3" t="s">
        <v>95</v>
      </c>
      <c r="N26" s="2" t="s">
        <v>348</v>
      </c>
      <c r="O26" s="2">
        <v>46</v>
      </c>
      <c r="P26" s="2">
        <v>60</v>
      </c>
      <c r="Q26" s="2" t="s">
        <v>340</v>
      </c>
      <c r="R26" s="222">
        <f t="shared" si="5"/>
        <v>6900818.823529412</v>
      </c>
      <c r="S26" s="2"/>
      <c r="T26" s="206">
        <f t="shared" si="6"/>
        <v>1916894.1176470588</v>
      </c>
      <c r="U26" s="2"/>
      <c r="V26" s="204">
        <f t="shared" si="7"/>
        <v>11.501364705882354</v>
      </c>
      <c r="W26" s="2"/>
      <c r="X26" s="204">
        <f t="shared" si="8"/>
        <v>3.1948235294117651</v>
      </c>
      <c r="Y26" s="2"/>
      <c r="Z26" s="2"/>
      <c r="AA26" s="2"/>
      <c r="AB26" s="2"/>
      <c r="AC26" s="2"/>
      <c r="AD26" s="2"/>
      <c r="AE26" s="218">
        <f t="shared" si="9"/>
        <v>658261.43999999994</v>
      </c>
      <c r="AF26" s="2"/>
      <c r="AG26" s="207">
        <f t="shared" si="10"/>
        <v>1.0971024</v>
      </c>
      <c r="AH26" s="2"/>
      <c r="AI26" s="14">
        <v>0.31</v>
      </c>
      <c r="AJ26" s="205">
        <f t="shared" si="11"/>
        <v>1629360</v>
      </c>
      <c r="AK26" s="2"/>
      <c r="AL26" s="2">
        <v>20</v>
      </c>
      <c r="AM26" s="206">
        <f t="shared" si="12"/>
        <v>32587200</v>
      </c>
      <c r="AN26" s="206">
        <f t="shared" si="13"/>
        <v>54312000</v>
      </c>
      <c r="AO26" s="3"/>
      <c r="AP26" s="2"/>
      <c r="AQ26" s="204">
        <v>17</v>
      </c>
      <c r="AR26" s="2"/>
      <c r="AS26" s="203">
        <f t="shared" si="14"/>
        <v>0.21176470588235294</v>
      </c>
      <c r="AT26" s="2"/>
      <c r="AU26" s="203">
        <f t="shared" si="16"/>
        <v>5.8823529411764705E-2</v>
      </c>
      <c r="AV26" s="4"/>
      <c r="AW26" s="203">
        <f t="shared" si="1"/>
        <v>1.1764705882352942</v>
      </c>
      <c r="AX26" s="3">
        <v>20.2</v>
      </c>
      <c r="AY26" s="2"/>
      <c r="AZ26" s="2"/>
    </row>
    <row r="27" spans="1:52" ht="19" customHeight="1">
      <c r="A27" s="1" t="s">
        <v>562</v>
      </c>
      <c r="B27" s="2" t="str">
        <f t="shared" si="2"/>
        <v>Lenzen</v>
      </c>
      <c r="C27" s="2">
        <v>2000</v>
      </c>
      <c r="D27" s="2"/>
      <c r="E27" s="11">
        <f t="shared" si="3"/>
        <v>2000</v>
      </c>
      <c r="F27" s="12">
        <f>LOOKUP(E27,Total_wind_installed_capacity!$A$3:$A$28,Total_wind_installed_capacity!$H$3:$H$28)</f>
        <v>16.347073333333334</v>
      </c>
      <c r="G27" s="3" t="s">
        <v>109</v>
      </c>
      <c r="H27" s="2" t="s">
        <v>353</v>
      </c>
      <c r="I27" s="3" t="s">
        <v>354</v>
      </c>
      <c r="J27" s="2">
        <v>600</v>
      </c>
      <c r="K27" s="2">
        <v>1</v>
      </c>
      <c r="L27" s="2">
        <f t="shared" si="4"/>
        <v>600</v>
      </c>
      <c r="M27" s="3" t="s">
        <v>180</v>
      </c>
      <c r="N27" s="13" t="s">
        <v>339</v>
      </c>
      <c r="O27" s="2"/>
      <c r="P27" s="2"/>
      <c r="Q27" s="2" t="s">
        <v>340</v>
      </c>
      <c r="R27" s="222">
        <f t="shared" si="5"/>
        <v>4655530.359712231</v>
      </c>
      <c r="S27" s="2"/>
      <c r="T27" s="206">
        <f t="shared" si="6"/>
        <v>1293202.877697842</v>
      </c>
      <c r="U27" s="2"/>
      <c r="V27" s="204">
        <f t="shared" si="7"/>
        <v>7.7592172661870515</v>
      </c>
      <c r="W27" s="2"/>
      <c r="X27" s="204">
        <f t="shared" si="8"/>
        <v>2.1553381294964034</v>
      </c>
      <c r="Y27" s="2"/>
      <c r="Z27" s="2"/>
      <c r="AA27" s="2"/>
      <c r="AB27" s="2"/>
      <c r="AC27" s="2"/>
      <c r="AD27" s="2"/>
      <c r="AE27" s="218">
        <f t="shared" si="9"/>
        <v>284013.21600000007</v>
      </c>
      <c r="AF27" s="2"/>
      <c r="AG27" s="207">
        <f t="shared" si="10"/>
        <v>0.37868428800000009</v>
      </c>
      <c r="AH27" s="2"/>
      <c r="AI27" s="14">
        <v>0.34200000000000003</v>
      </c>
      <c r="AJ27" s="205">
        <f t="shared" si="11"/>
        <v>1797552.0000000002</v>
      </c>
      <c r="AK27" s="2"/>
      <c r="AL27" s="2">
        <v>20</v>
      </c>
      <c r="AM27" s="206">
        <f t="shared" si="12"/>
        <v>35951040.000000007</v>
      </c>
      <c r="AN27" s="206">
        <f t="shared" si="13"/>
        <v>59918400.000000015</v>
      </c>
      <c r="AO27" s="3"/>
      <c r="AP27" s="2"/>
      <c r="AQ27" s="204">
        <v>27.8</v>
      </c>
      <c r="AR27" s="2"/>
      <c r="AS27" s="203">
        <f t="shared" si="14"/>
        <v>0.12949640287769784</v>
      </c>
      <c r="AT27" s="2"/>
      <c r="AU27" s="203">
        <f t="shared" si="16"/>
        <v>3.5971223021582732E-2</v>
      </c>
      <c r="AV27" s="4"/>
      <c r="AW27" s="203">
        <f t="shared" si="1"/>
        <v>0.71942446043165464</v>
      </c>
      <c r="AX27" s="3">
        <v>7.9</v>
      </c>
      <c r="AY27" s="2"/>
      <c r="AZ27" s="2"/>
    </row>
    <row r="28" spans="1:52" ht="19" customHeight="1">
      <c r="A28" s="1" t="s">
        <v>563</v>
      </c>
      <c r="B28" s="2" t="str">
        <f t="shared" si="2"/>
        <v>White</v>
      </c>
      <c r="C28" s="2">
        <v>1999</v>
      </c>
      <c r="D28" s="2"/>
      <c r="E28" s="11">
        <f t="shared" si="3"/>
        <v>1999</v>
      </c>
      <c r="F28" s="12">
        <f>LOOKUP(E28,Total_wind_installed_capacity!$A$3:$A$28,Total_wind_installed_capacity!$H$3:$H$28)</f>
        <v>12.372099999999998</v>
      </c>
      <c r="G28" s="3" t="s">
        <v>109</v>
      </c>
      <c r="H28" s="2" t="s">
        <v>346</v>
      </c>
      <c r="I28" s="3" t="s">
        <v>214</v>
      </c>
      <c r="J28" s="2">
        <v>750</v>
      </c>
      <c r="K28" s="2">
        <v>1</v>
      </c>
      <c r="L28" s="2">
        <f t="shared" si="4"/>
        <v>750</v>
      </c>
      <c r="M28" s="3" t="s">
        <v>355</v>
      </c>
      <c r="N28" s="2" t="s">
        <v>348</v>
      </c>
      <c r="O28" s="2">
        <v>46</v>
      </c>
      <c r="P28" s="2">
        <v>48.5</v>
      </c>
      <c r="Q28" s="2" t="s">
        <v>340</v>
      </c>
      <c r="R28" s="222">
        <f t="shared" si="5"/>
        <v>5306538.461538462</v>
      </c>
      <c r="S28" s="2"/>
      <c r="T28" s="206">
        <f t="shared" si="6"/>
        <v>1474038.4615384617</v>
      </c>
      <c r="U28" s="2"/>
      <c r="V28" s="204">
        <f t="shared" si="7"/>
        <v>7.0753846153846158</v>
      </c>
      <c r="W28" s="2"/>
      <c r="X28" s="204">
        <f t="shared" si="8"/>
        <v>1.9653846153846157</v>
      </c>
      <c r="Y28" s="2"/>
      <c r="Z28" s="2"/>
      <c r="AA28" s="2"/>
      <c r="AB28" s="2"/>
      <c r="AC28" s="2"/>
      <c r="AD28" s="2"/>
      <c r="AE28" s="218">
        <f t="shared" si="9"/>
        <v>511638.75</v>
      </c>
      <c r="AF28" s="2"/>
      <c r="AG28" s="207">
        <f t="shared" si="10"/>
        <v>0.51163875000000003</v>
      </c>
      <c r="AH28" s="2"/>
      <c r="AI28" s="14">
        <v>0.35</v>
      </c>
      <c r="AJ28" s="205">
        <f t="shared" si="11"/>
        <v>2299500</v>
      </c>
      <c r="AK28" s="2"/>
      <c r="AL28" s="2">
        <v>25</v>
      </c>
      <c r="AM28" s="206">
        <f t="shared" si="12"/>
        <v>57487500</v>
      </c>
      <c r="AN28" s="206">
        <f t="shared" si="13"/>
        <v>76650000</v>
      </c>
      <c r="AO28" s="3"/>
      <c r="AP28" s="2"/>
      <c r="AQ28" s="204">
        <v>39</v>
      </c>
      <c r="AR28" s="2"/>
      <c r="AS28" s="203">
        <f t="shared" si="14"/>
        <v>9.2307692307692313E-2</v>
      </c>
      <c r="AT28" s="2"/>
      <c r="AU28" s="203">
        <f t="shared" si="16"/>
        <v>2.564102564102564E-2</v>
      </c>
      <c r="AV28" s="4"/>
      <c r="AW28" s="203">
        <f t="shared" si="1"/>
        <v>0.64102564102564097</v>
      </c>
      <c r="AX28" s="3">
        <v>8.9</v>
      </c>
      <c r="AY28" s="2"/>
      <c r="AZ28" s="2"/>
    </row>
    <row r="29" spans="1:52" ht="19" customHeight="1">
      <c r="A29" s="1" t="s">
        <v>562</v>
      </c>
      <c r="B29" s="2" t="str">
        <f t="shared" si="2"/>
        <v>Lenzen</v>
      </c>
      <c r="C29" s="2">
        <v>1980</v>
      </c>
      <c r="D29" s="2"/>
      <c r="E29" s="11">
        <f t="shared" si="3"/>
        <v>1980</v>
      </c>
      <c r="F29" s="12" t="e">
        <f>LOOKUP(E29,Total_wind_installed_capacity!$A$3:$A$28,Total_wind_installed_capacity!$H$3:$H$28)</f>
        <v>#N/A</v>
      </c>
      <c r="G29" s="3" t="s">
        <v>109</v>
      </c>
      <c r="H29" s="2" t="s">
        <v>338</v>
      </c>
      <c r="I29" s="3" t="s">
        <v>30</v>
      </c>
      <c r="J29" s="2">
        <v>1000</v>
      </c>
      <c r="K29" s="2">
        <v>1</v>
      </c>
      <c r="L29" s="2">
        <f t="shared" si="4"/>
        <v>1000</v>
      </c>
      <c r="M29" s="3" t="s">
        <v>180</v>
      </c>
      <c r="N29" s="2" t="s">
        <v>348</v>
      </c>
      <c r="O29" s="2">
        <v>46</v>
      </c>
      <c r="P29" s="2"/>
      <c r="Q29" s="2" t="s">
        <v>356</v>
      </c>
      <c r="R29" s="222">
        <f t="shared" si="5"/>
        <v>11542176.000000002</v>
      </c>
      <c r="S29" s="2"/>
      <c r="T29" s="206">
        <f t="shared" si="6"/>
        <v>3206160.0000000005</v>
      </c>
      <c r="U29" s="2"/>
      <c r="V29" s="204">
        <f t="shared" si="7"/>
        <v>11.542176000000001</v>
      </c>
      <c r="W29" s="2"/>
      <c r="X29" s="204">
        <f t="shared" si="8"/>
        <v>3.2061600000000001</v>
      </c>
      <c r="Y29" s="2"/>
      <c r="Z29" s="2"/>
      <c r="AA29" s="2"/>
      <c r="AB29" s="2"/>
      <c r="AC29" s="2"/>
      <c r="AD29" s="2"/>
      <c r="AE29" s="218">
        <f t="shared" si="9"/>
        <v>0</v>
      </c>
      <c r="AF29" s="2"/>
      <c r="AG29" s="207">
        <f t="shared" si="10"/>
        <v>0</v>
      </c>
      <c r="AH29" s="2"/>
      <c r="AI29" s="14">
        <v>0.183</v>
      </c>
      <c r="AJ29" s="205">
        <f t="shared" si="11"/>
        <v>1603080</v>
      </c>
      <c r="AK29" s="2"/>
      <c r="AL29" s="2">
        <v>25</v>
      </c>
      <c r="AM29" s="206">
        <f t="shared" si="12"/>
        <v>40077000</v>
      </c>
      <c r="AN29" s="206">
        <f t="shared" si="13"/>
        <v>40077000</v>
      </c>
      <c r="AO29" s="3"/>
      <c r="AP29" s="2"/>
      <c r="AQ29" s="204">
        <v>12.5</v>
      </c>
      <c r="AR29" s="2"/>
      <c r="AS29" s="203">
        <f t="shared" si="14"/>
        <v>0.28800000000000003</v>
      </c>
      <c r="AT29" s="2"/>
      <c r="AU29" s="203">
        <f t="shared" si="16"/>
        <v>0.08</v>
      </c>
      <c r="AV29" s="4"/>
      <c r="AW29" s="203">
        <f t="shared" si="1"/>
        <v>2</v>
      </c>
      <c r="AX29" s="3"/>
      <c r="AY29" s="2"/>
      <c r="AZ29" s="2"/>
    </row>
    <row r="30" spans="1:52" ht="19" customHeight="1">
      <c r="A30" s="1" t="s">
        <v>562</v>
      </c>
      <c r="B30" s="2" t="str">
        <f t="shared" si="2"/>
        <v>Lenzen</v>
      </c>
      <c r="C30" s="2">
        <v>1980</v>
      </c>
      <c r="D30" s="2"/>
      <c r="E30" s="11">
        <f t="shared" si="3"/>
        <v>1980</v>
      </c>
      <c r="F30" s="12" t="e">
        <f>LOOKUP(E30,Total_wind_installed_capacity!$A$3:$A$28,Total_wind_installed_capacity!$H$3:$H$28)</f>
        <v>#N/A</v>
      </c>
      <c r="G30" s="3" t="s">
        <v>109</v>
      </c>
      <c r="H30" s="2" t="s">
        <v>338</v>
      </c>
      <c r="I30" s="3" t="s">
        <v>30</v>
      </c>
      <c r="J30" s="2">
        <v>1000</v>
      </c>
      <c r="K30" s="2">
        <v>1</v>
      </c>
      <c r="L30" s="2">
        <f t="shared" si="4"/>
        <v>1000</v>
      </c>
      <c r="M30" s="3" t="s">
        <v>180</v>
      </c>
      <c r="N30" s="13" t="s">
        <v>339</v>
      </c>
      <c r="O30" s="2">
        <v>46</v>
      </c>
      <c r="P30" s="2"/>
      <c r="Q30" s="2" t="s">
        <v>356</v>
      </c>
      <c r="R30" s="222">
        <f t="shared" si="5"/>
        <v>23652000.000000004</v>
      </c>
      <c r="S30" s="2"/>
      <c r="T30" s="206">
        <f t="shared" si="6"/>
        <v>6570000.0000000009</v>
      </c>
      <c r="U30" s="2"/>
      <c r="V30" s="204">
        <f t="shared" si="7"/>
        <v>23.652000000000005</v>
      </c>
      <c r="W30" s="2"/>
      <c r="X30" s="204">
        <f t="shared" si="8"/>
        <v>6.5700000000000012</v>
      </c>
      <c r="Y30" s="2"/>
      <c r="Z30" s="2"/>
      <c r="AA30" s="2"/>
      <c r="AB30" s="2"/>
      <c r="AC30" s="2"/>
      <c r="AD30" s="2"/>
      <c r="AE30" s="218">
        <f t="shared" si="9"/>
        <v>0</v>
      </c>
      <c r="AF30" s="2"/>
      <c r="AG30" s="207">
        <f t="shared" si="10"/>
        <v>0</v>
      </c>
      <c r="AH30" s="2"/>
      <c r="AI30" s="14">
        <v>0.183</v>
      </c>
      <c r="AJ30" s="205">
        <f t="shared" si="11"/>
        <v>1603080</v>
      </c>
      <c r="AK30" s="2"/>
      <c r="AL30" s="2">
        <v>25</v>
      </c>
      <c r="AM30" s="206">
        <f t="shared" si="12"/>
        <v>40077000</v>
      </c>
      <c r="AN30" s="206">
        <f t="shared" si="13"/>
        <v>40077000</v>
      </c>
      <c r="AO30" s="3"/>
      <c r="AP30" s="2"/>
      <c r="AQ30" s="204">
        <v>6.1</v>
      </c>
      <c r="AR30" s="2"/>
      <c r="AS30" s="203">
        <f t="shared" si="14"/>
        <v>0.59016393442622961</v>
      </c>
      <c r="AT30" s="2"/>
      <c r="AU30" s="203">
        <f t="shared" si="16"/>
        <v>0.16393442622950821</v>
      </c>
      <c r="AV30" s="4"/>
      <c r="AW30" s="203">
        <f t="shared" si="1"/>
        <v>4.0983606557377055</v>
      </c>
      <c r="AX30" s="3"/>
      <c r="AY30" s="2"/>
      <c r="AZ30" s="2"/>
    </row>
    <row r="31" spans="1:52" ht="19" customHeight="1">
      <c r="A31" s="1" t="s">
        <v>562</v>
      </c>
      <c r="B31" s="2" t="str">
        <f t="shared" si="2"/>
        <v>Lenzen</v>
      </c>
      <c r="C31" s="2">
        <v>1996</v>
      </c>
      <c r="D31" s="2"/>
      <c r="E31" s="11">
        <f t="shared" si="3"/>
        <v>1996</v>
      </c>
      <c r="F31" s="12">
        <f>LOOKUP(E31,Total_wind_installed_capacity!$A$3:$A$28,Total_wind_installed_capacity!$H$3:$H$28)</f>
        <v>5.6738550000000005</v>
      </c>
      <c r="G31" s="3" t="s">
        <v>109</v>
      </c>
      <c r="H31" s="2" t="s">
        <v>341</v>
      </c>
      <c r="I31" s="3" t="s">
        <v>212</v>
      </c>
      <c r="J31" s="2">
        <v>1000</v>
      </c>
      <c r="K31" s="2">
        <v>1</v>
      </c>
      <c r="L31" s="2">
        <f t="shared" si="4"/>
        <v>1000</v>
      </c>
      <c r="M31" s="3" t="s">
        <v>350</v>
      </c>
      <c r="N31" s="13" t="s">
        <v>339</v>
      </c>
      <c r="O31" s="2">
        <v>54</v>
      </c>
      <c r="P31" s="2">
        <v>55</v>
      </c>
      <c r="Q31" s="2" t="s">
        <v>340</v>
      </c>
      <c r="R31" s="222">
        <f t="shared" si="5"/>
        <v>0</v>
      </c>
      <c r="S31" s="2"/>
      <c r="T31" s="206">
        <f t="shared" si="6"/>
        <v>0</v>
      </c>
      <c r="U31" s="2"/>
      <c r="V31" s="204">
        <f t="shared" si="7"/>
        <v>0</v>
      </c>
      <c r="W31" s="2"/>
      <c r="X31" s="204">
        <f t="shared" si="8"/>
        <v>0</v>
      </c>
      <c r="Y31" s="2"/>
      <c r="Z31" s="2"/>
      <c r="AA31" s="2"/>
      <c r="AB31" s="2"/>
      <c r="AC31" s="2"/>
      <c r="AD31" s="2"/>
      <c r="AE31" s="218">
        <f t="shared" si="9"/>
        <v>713064</v>
      </c>
      <c r="AF31" s="2"/>
      <c r="AG31" s="207">
        <f t="shared" si="10"/>
        <v>0.47537599999999997</v>
      </c>
      <c r="AH31" s="2"/>
      <c r="AI31" s="14">
        <v>0.185</v>
      </c>
      <c r="AJ31" s="205">
        <f t="shared" si="11"/>
        <v>1620600</v>
      </c>
      <c r="AK31" s="2"/>
      <c r="AL31" s="2">
        <v>20</v>
      </c>
      <c r="AM31" s="206">
        <f t="shared" si="12"/>
        <v>32412000</v>
      </c>
      <c r="AN31" s="206">
        <f t="shared" si="13"/>
        <v>32412000</v>
      </c>
      <c r="AO31" s="3"/>
      <c r="AP31" s="2"/>
      <c r="AQ31" s="204"/>
      <c r="AR31" s="2"/>
      <c r="AS31" s="203">
        <f t="shared" si="14"/>
        <v>0</v>
      </c>
      <c r="AT31" s="2"/>
      <c r="AU31" s="203"/>
      <c r="AV31" s="4"/>
      <c r="AW31" s="203">
        <f t="shared" si="1"/>
        <v>0</v>
      </c>
      <c r="AX31" s="3">
        <v>22</v>
      </c>
      <c r="AY31" s="2"/>
      <c r="AZ31" s="2"/>
    </row>
    <row r="32" spans="1:52" ht="19" customHeight="1">
      <c r="A32" s="1" t="s">
        <v>562</v>
      </c>
      <c r="B32" s="2" t="str">
        <f t="shared" si="2"/>
        <v>Lenzen</v>
      </c>
      <c r="C32" s="2">
        <v>1977</v>
      </c>
      <c r="D32" s="2"/>
      <c r="E32" s="11">
        <f t="shared" si="3"/>
        <v>1977</v>
      </c>
      <c r="F32" s="12" t="e">
        <f>LOOKUP(E32,Total_wind_installed_capacity!$A$3:$A$28,Total_wind_installed_capacity!$H$3:$H$28)</f>
        <v>#N/A</v>
      </c>
      <c r="G32" s="3" t="s">
        <v>109</v>
      </c>
      <c r="H32" s="2" t="s">
        <v>357</v>
      </c>
      <c r="I32" s="3" t="s">
        <v>214</v>
      </c>
      <c r="J32" s="2">
        <v>1500</v>
      </c>
      <c r="K32" s="2">
        <v>1</v>
      </c>
      <c r="L32" s="2">
        <f t="shared" si="4"/>
        <v>1500</v>
      </c>
      <c r="M32" s="3" t="s">
        <v>358</v>
      </c>
      <c r="N32" s="13" t="s">
        <v>339</v>
      </c>
      <c r="O32" s="2">
        <v>60</v>
      </c>
      <c r="P32" s="2">
        <v>50</v>
      </c>
      <c r="Q32" s="2" t="s">
        <v>356</v>
      </c>
      <c r="R32" s="222">
        <f t="shared" si="5"/>
        <v>16442217.931034483</v>
      </c>
      <c r="S32" s="2"/>
      <c r="T32" s="206">
        <f t="shared" si="6"/>
        <v>4567282.7586206896</v>
      </c>
      <c r="U32" s="2"/>
      <c r="V32" s="204">
        <f t="shared" si="7"/>
        <v>10.961478620689656</v>
      </c>
      <c r="W32" s="2"/>
      <c r="X32" s="204">
        <f t="shared" si="8"/>
        <v>3.0448551724137931</v>
      </c>
      <c r="Y32" s="2"/>
      <c r="Z32" s="2"/>
      <c r="AA32" s="2"/>
      <c r="AB32" s="2"/>
      <c r="AC32" s="2"/>
      <c r="AD32" s="2"/>
      <c r="AE32" s="218">
        <f t="shared" si="9"/>
        <v>0</v>
      </c>
      <c r="AF32" s="2"/>
      <c r="AG32" s="207">
        <f t="shared" si="10"/>
        <v>0</v>
      </c>
      <c r="AH32" s="2"/>
      <c r="AI32" s="14">
        <v>0.504</v>
      </c>
      <c r="AJ32" s="205">
        <f t="shared" si="11"/>
        <v>6622560</v>
      </c>
      <c r="AK32" s="2"/>
      <c r="AL32" s="2">
        <v>30</v>
      </c>
      <c r="AM32" s="206">
        <f t="shared" si="12"/>
        <v>198676800</v>
      </c>
      <c r="AN32" s="206">
        <f t="shared" si="13"/>
        <v>132451200.00000001</v>
      </c>
      <c r="AO32" s="3"/>
      <c r="AP32" s="2"/>
      <c r="AQ32" s="204">
        <v>43.5</v>
      </c>
      <c r="AR32" s="2"/>
      <c r="AS32" s="203">
        <f t="shared" si="14"/>
        <v>8.2758620689655171E-2</v>
      </c>
      <c r="AT32" s="2"/>
      <c r="AU32" s="203">
        <f t="shared" ref="AU32:AU75" si="17">1/AQ32</f>
        <v>2.2988505747126436E-2</v>
      </c>
      <c r="AV32" s="4"/>
      <c r="AW32" s="203">
        <f t="shared" si="1"/>
        <v>0.68965517241379315</v>
      </c>
      <c r="AX32" s="3"/>
      <c r="AY32" s="2"/>
      <c r="AZ32" s="2"/>
    </row>
    <row r="33" spans="1:52" ht="19" customHeight="1">
      <c r="A33" s="1" t="s">
        <v>562</v>
      </c>
      <c r="B33" s="2" t="str">
        <f t="shared" si="2"/>
        <v>Lenzen</v>
      </c>
      <c r="C33" s="2">
        <v>1997</v>
      </c>
      <c r="D33" s="2"/>
      <c r="E33" s="11">
        <f t="shared" si="3"/>
        <v>1997</v>
      </c>
      <c r="F33" s="12">
        <f>LOOKUP(E33,Total_wind_installed_capacity!$A$3:$A$28,Total_wind_installed_capacity!$H$3:$H$28)</f>
        <v>6.7156999999999991</v>
      </c>
      <c r="G33" s="3" t="s">
        <v>109</v>
      </c>
      <c r="H33" s="2" t="s">
        <v>341</v>
      </c>
      <c r="I33" s="3" t="s">
        <v>205</v>
      </c>
      <c r="J33" s="2">
        <v>1500</v>
      </c>
      <c r="K33" s="2">
        <v>1</v>
      </c>
      <c r="L33" s="2">
        <f t="shared" si="4"/>
        <v>1500</v>
      </c>
      <c r="M33" s="3" t="s">
        <v>350</v>
      </c>
      <c r="N33" s="2" t="s">
        <v>359</v>
      </c>
      <c r="O33" s="2">
        <v>64</v>
      </c>
      <c r="P33" s="2">
        <v>55</v>
      </c>
      <c r="Q33" s="2" t="s">
        <v>356</v>
      </c>
      <c r="R33" s="222">
        <f t="shared" si="5"/>
        <v>10909751.351351354</v>
      </c>
      <c r="S33" s="2"/>
      <c r="T33" s="206">
        <f t="shared" si="6"/>
        <v>3030486.4864864871</v>
      </c>
      <c r="U33" s="2"/>
      <c r="V33" s="204">
        <f t="shared" si="7"/>
        <v>7.2731675675675698</v>
      </c>
      <c r="W33" s="2"/>
      <c r="X33" s="204">
        <f t="shared" si="8"/>
        <v>2.0203243243243247</v>
      </c>
      <c r="Y33" s="2"/>
      <c r="Z33" s="2"/>
      <c r="AA33" s="2"/>
      <c r="AB33" s="2"/>
      <c r="AC33" s="2"/>
      <c r="AD33" s="2"/>
      <c r="AE33" s="218">
        <f t="shared" si="9"/>
        <v>0</v>
      </c>
      <c r="AF33" s="2"/>
      <c r="AG33" s="207">
        <f t="shared" si="10"/>
        <v>0</v>
      </c>
      <c r="AH33" s="2"/>
      <c r="AI33" s="14">
        <v>0.38400000000000001</v>
      </c>
      <c r="AJ33" s="205">
        <f t="shared" si="11"/>
        <v>5045760</v>
      </c>
      <c r="AK33" s="2"/>
      <c r="AL33" s="2">
        <v>20</v>
      </c>
      <c r="AM33" s="206">
        <f t="shared" si="12"/>
        <v>100915200</v>
      </c>
      <c r="AN33" s="206">
        <f t="shared" si="13"/>
        <v>67276800</v>
      </c>
      <c r="AO33" s="3"/>
      <c r="AP33" s="2"/>
      <c r="AQ33" s="204">
        <v>33.299999999999997</v>
      </c>
      <c r="AR33" s="2"/>
      <c r="AS33" s="203">
        <f t="shared" si="14"/>
        <v>0.10810810810810813</v>
      </c>
      <c r="AT33" s="2"/>
      <c r="AU33" s="203">
        <f t="shared" si="17"/>
        <v>3.0030030030030033E-2</v>
      </c>
      <c r="AV33" s="4"/>
      <c r="AW33" s="203">
        <f t="shared" si="1"/>
        <v>0.60060060060060061</v>
      </c>
      <c r="AX33" s="3"/>
      <c r="AY33" s="2"/>
      <c r="AZ33" s="2"/>
    </row>
    <row r="34" spans="1:52" ht="19" customHeight="1">
      <c r="A34" s="1" t="s">
        <v>562</v>
      </c>
      <c r="B34" s="2" t="str">
        <f t="shared" si="2"/>
        <v>Lenzen</v>
      </c>
      <c r="C34" s="2">
        <v>1998</v>
      </c>
      <c r="D34" s="2"/>
      <c r="E34" s="11">
        <f t="shared" si="3"/>
        <v>1998</v>
      </c>
      <c r="F34" s="12">
        <f>LOOKUP(E34,Total_wind_installed_capacity!$A$3:$A$28,Total_wind_installed_capacity!$H$3:$H$28)</f>
        <v>8.7342999999999993</v>
      </c>
      <c r="G34" s="3" t="s">
        <v>109</v>
      </c>
      <c r="H34" s="2" t="s">
        <v>349</v>
      </c>
      <c r="I34" s="3" t="s">
        <v>212</v>
      </c>
      <c r="J34" s="2">
        <v>1500</v>
      </c>
      <c r="K34" s="2">
        <v>1</v>
      </c>
      <c r="L34" s="2">
        <f t="shared" si="4"/>
        <v>1500</v>
      </c>
      <c r="M34" s="3" t="s">
        <v>350</v>
      </c>
      <c r="N34" s="13" t="s">
        <v>339</v>
      </c>
      <c r="O34" s="2">
        <v>66</v>
      </c>
      <c r="P34" s="2">
        <v>67</v>
      </c>
      <c r="Q34" s="2" t="s">
        <v>340</v>
      </c>
      <c r="R34" s="222">
        <f t="shared" si="5"/>
        <v>20800340.425531916</v>
      </c>
      <c r="S34" s="2"/>
      <c r="T34" s="206">
        <f t="shared" si="6"/>
        <v>5777872.3404255323</v>
      </c>
      <c r="U34" s="2"/>
      <c r="V34" s="204">
        <f t="shared" si="7"/>
        <v>13.866893617021278</v>
      </c>
      <c r="W34" s="2"/>
      <c r="X34" s="204">
        <f t="shared" si="8"/>
        <v>3.8519148936170216</v>
      </c>
      <c r="Y34" s="2"/>
      <c r="Z34" s="2"/>
      <c r="AA34" s="2"/>
      <c r="AB34" s="2"/>
      <c r="AC34" s="2"/>
      <c r="AD34" s="2"/>
      <c r="AE34" s="218">
        <f t="shared" si="9"/>
        <v>0</v>
      </c>
      <c r="AF34" s="2"/>
      <c r="AG34" s="207">
        <f t="shared" si="10"/>
        <v>0</v>
      </c>
      <c r="AH34" s="2"/>
      <c r="AI34" s="14">
        <v>0.31</v>
      </c>
      <c r="AJ34" s="205">
        <f t="shared" si="11"/>
        <v>4073400</v>
      </c>
      <c r="AK34" s="2"/>
      <c r="AL34" s="2">
        <v>20</v>
      </c>
      <c r="AM34" s="206">
        <f t="shared" si="12"/>
        <v>81468000</v>
      </c>
      <c r="AN34" s="206">
        <f t="shared" si="13"/>
        <v>54312000</v>
      </c>
      <c r="AO34" s="3"/>
      <c r="AP34" s="2"/>
      <c r="AQ34" s="204">
        <v>14.1</v>
      </c>
      <c r="AR34" s="2"/>
      <c r="AS34" s="203">
        <f t="shared" si="14"/>
        <v>0.25531914893617025</v>
      </c>
      <c r="AT34" s="2"/>
      <c r="AU34" s="203">
        <f t="shared" si="17"/>
        <v>7.0921985815602842E-2</v>
      </c>
      <c r="AV34" s="4"/>
      <c r="AW34" s="203">
        <f t="shared" ref="AW34:AW65" si="18">AL34*AU34</f>
        <v>1.4184397163120568</v>
      </c>
      <c r="AX34" s="3"/>
      <c r="AY34" s="2"/>
      <c r="AZ34" s="2"/>
    </row>
    <row r="35" spans="1:52" ht="19" customHeight="1">
      <c r="A35" s="1" t="s">
        <v>564</v>
      </c>
      <c r="B35" s="2" t="str">
        <f t="shared" si="2"/>
        <v>Brown</v>
      </c>
      <c r="C35" s="2">
        <v>2000</v>
      </c>
      <c r="D35" s="2"/>
      <c r="E35" s="11">
        <f t="shared" si="3"/>
        <v>2000</v>
      </c>
      <c r="F35" s="12">
        <f>LOOKUP(E35,Total_wind_installed_capacity!$A$3:$A$28,Total_wind_installed_capacity!$H$3:$H$28)</f>
        <v>16.347073333333334</v>
      </c>
      <c r="G35" s="3" t="s">
        <v>109</v>
      </c>
      <c r="H35" s="2" t="s">
        <v>28</v>
      </c>
      <c r="I35" s="3" t="s">
        <v>73</v>
      </c>
      <c r="J35" s="2">
        <v>2500</v>
      </c>
      <c r="K35" s="2">
        <v>1</v>
      </c>
      <c r="L35" s="2">
        <f t="shared" si="4"/>
        <v>2500</v>
      </c>
      <c r="M35" s="3" t="s">
        <v>180</v>
      </c>
      <c r="N35" s="13" t="s">
        <v>339</v>
      </c>
      <c r="O35" s="2"/>
      <c r="P35" s="2"/>
      <c r="Q35" s="2" t="s">
        <v>340</v>
      </c>
      <c r="R35" s="222">
        <f t="shared" si="5"/>
        <v>0</v>
      </c>
      <c r="S35" s="2"/>
      <c r="T35" s="206">
        <f t="shared" si="6"/>
        <v>0</v>
      </c>
      <c r="U35" s="2"/>
      <c r="V35" s="204">
        <f t="shared" si="7"/>
        <v>0</v>
      </c>
      <c r="W35" s="2"/>
      <c r="X35" s="204">
        <f t="shared" si="8"/>
        <v>0</v>
      </c>
      <c r="Y35" s="2"/>
      <c r="Z35" s="2"/>
      <c r="AA35" s="2"/>
      <c r="AB35" s="2"/>
      <c r="AC35" s="2"/>
      <c r="AD35" s="2"/>
      <c r="AE35" s="218">
        <f t="shared" si="9"/>
        <v>0</v>
      </c>
      <c r="AF35" s="2"/>
      <c r="AG35" s="207">
        <f t="shared" si="10"/>
        <v>0</v>
      </c>
      <c r="AH35" s="2"/>
      <c r="AI35" s="14">
        <v>0</v>
      </c>
      <c r="AJ35" s="205">
        <f t="shared" si="11"/>
        <v>0</v>
      </c>
      <c r="AK35" s="2"/>
      <c r="AL35" s="2"/>
      <c r="AM35" s="206">
        <f t="shared" si="12"/>
        <v>0</v>
      </c>
      <c r="AN35" s="206">
        <f t="shared" si="13"/>
        <v>0</v>
      </c>
      <c r="AO35" s="3"/>
      <c r="AP35" s="2"/>
      <c r="AQ35" s="204">
        <v>7.7</v>
      </c>
      <c r="AR35" s="2"/>
      <c r="AS35" s="203">
        <f t="shared" si="14"/>
        <v>0.46753246753246752</v>
      </c>
      <c r="AT35" s="2"/>
      <c r="AU35" s="203">
        <f t="shared" si="17"/>
        <v>0.12987012987012986</v>
      </c>
      <c r="AV35" s="4"/>
      <c r="AW35" s="203">
        <f t="shared" si="18"/>
        <v>0</v>
      </c>
      <c r="AX35" s="3">
        <v>36.15</v>
      </c>
      <c r="AY35" s="2"/>
      <c r="AZ35" s="2"/>
    </row>
    <row r="36" spans="1:52" ht="19" customHeight="1">
      <c r="A36" s="1" t="s">
        <v>562</v>
      </c>
      <c r="B36" s="2" t="str">
        <f t="shared" si="2"/>
        <v>Lenzen</v>
      </c>
      <c r="C36" s="2">
        <v>1983</v>
      </c>
      <c r="D36" s="2"/>
      <c r="E36" s="11">
        <f t="shared" si="3"/>
        <v>1983</v>
      </c>
      <c r="F36" s="12" t="e">
        <f>LOOKUP(E36,Total_wind_installed_capacity!$A$3:$A$28,Total_wind_installed_capacity!$H$3:$H$28)</f>
        <v>#N/A</v>
      </c>
      <c r="G36" s="3" t="s">
        <v>109</v>
      </c>
      <c r="H36" s="2" t="s">
        <v>338</v>
      </c>
      <c r="I36" s="3" t="s">
        <v>212</v>
      </c>
      <c r="J36" s="2">
        <v>3000</v>
      </c>
      <c r="K36" s="2">
        <v>1</v>
      </c>
      <c r="L36" s="2">
        <f t="shared" si="4"/>
        <v>3000</v>
      </c>
      <c r="M36" s="3" t="s">
        <v>358</v>
      </c>
      <c r="N36" s="13" t="s">
        <v>339</v>
      </c>
      <c r="O36" s="2">
        <v>100</v>
      </c>
      <c r="P36" s="2">
        <v>100</v>
      </c>
      <c r="Q36" s="2" t="s">
        <v>340</v>
      </c>
      <c r="R36" s="222">
        <f t="shared" si="5"/>
        <v>665167015.38461542</v>
      </c>
      <c r="S36" s="2"/>
      <c r="T36" s="206">
        <f t="shared" si="6"/>
        <v>184768615.38461539</v>
      </c>
      <c r="U36" s="2"/>
      <c r="V36" s="204">
        <f t="shared" si="7"/>
        <v>221.7223384615385</v>
      </c>
      <c r="W36" s="2"/>
      <c r="X36" s="204">
        <f t="shared" si="8"/>
        <v>61.58953846153846</v>
      </c>
      <c r="Y36" s="2"/>
      <c r="Z36" s="2"/>
      <c r="AA36" s="2"/>
      <c r="AB36" s="2"/>
      <c r="AC36" s="2"/>
      <c r="AD36" s="2"/>
      <c r="AE36" s="218">
        <f t="shared" si="9"/>
        <v>0</v>
      </c>
      <c r="AF36" s="2"/>
      <c r="AG36" s="207">
        <f t="shared" si="10"/>
        <v>0</v>
      </c>
      <c r="AH36" s="2"/>
      <c r="AI36" s="14">
        <v>0.45700000000000002</v>
      </c>
      <c r="AJ36" s="205">
        <f t="shared" si="11"/>
        <v>12009960</v>
      </c>
      <c r="AK36" s="2"/>
      <c r="AL36" s="2">
        <v>20</v>
      </c>
      <c r="AM36" s="206">
        <f t="shared" si="12"/>
        <v>240199200</v>
      </c>
      <c r="AN36" s="206">
        <f t="shared" si="13"/>
        <v>80066400</v>
      </c>
      <c r="AO36" s="3"/>
      <c r="AP36" s="2"/>
      <c r="AQ36" s="204">
        <v>1.3</v>
      </c>
      <c r="AR36" s="2"/>
      <c r="AS36" s="203">
        <f t="shared" si="14"/>
        <v>2.7692307692307692</v>
      </c>
      <c r="AT36" s="2"/>
      <c r="AU36" s="203">
        <f t="shared" si="17"/>
        <v>0.76923076923076916</v>
      </c>
      <c r="AV36" s="4"/>
      <c r="AW36" s="203">
        <f t="shared" si="18"/>
        <v>15.384615384615383</v>
      </c>
      <c r="AX36" s="3"/>
      <c r="AY36" s="2"/>
      <c r="AZ36" s="2"/>
    </row>
    <row r="37" spans="1:52" ht="19" customHeight="1">
      <c r="A37" s="1" t="s">
        <v>562</v>
      </c>
      <c r="B37" s="2" t="str">
        <f t="shared" si="2"/>
        <v>Lenzen</v>
      </c>
      <c r="C37" s="2">
        <v>1996</v>
      </c>
      <c r="D37" s="2"/>
      <c r="E37" s="11">
        <f t="shared" si="3"/>
        <v>1996</v>
      </c>
      <c r="F37" s="12">
        <f>LOOKUP(E37,Total_wind_installed_capacity!$A$3:$A$28,Total_wind_installed_capacity!$H$3:$H$28)</f>
        <v>5.6738550000000005</v>
      </c>
      <c r="G37" s="3" t="s">
        <v>109</v>
      </c>
      <c r="H37" s="2" t="s">
        <v>360</v>
      </c>
      <c r="I37" s="3" t="s">
        <v>30</v>
      </c>
      <c r="J37" s="2">
        <v>6600</v>
      </c>
      <c r="K37" s="2">
        <v>1</v>
      </c>
      <c r="L37" s="2">
        <f t="shared" si="4"/>
        <v>6600</v>
      </c>
      <c r="M37" s="3" t="s">
        <v>180</v>
      </c>
      <c r="N37" s="13" t="s">
        <v>339</v>
      </c>
      <c r="O37" s="2"/>
      <c r="P37" s="2"/>
      <c r="Q37" s="2" t="s">
        <v>340</v>
      </c>
      <c r="R37" s="222">
        <f t="shared" si="5"/>
        <v>48287923.199999996</v>
      </c>
      <c r="S37" s="2"/>
      <c r="T37" s="206">
        <f t="shared" si="6"/>
        <v>13413311.999999998</v>
      </c>
      <c r="U37" s="2"/>
      <c r="V37" s="204">
        <f t="shared" si="7"/>
        <v>7.3163519999999993</v>
      </c>
      <c r="W37" s="2"/>
      <c r="X37" s="204">
        <f t="shared" si="8"/>
        <v>2.0323199999999999</v>
      </c>
      <c r="Y37" s="2"/>
      <c r="Z37" s="2"/>
      <c r="AA37" s="2"/>
      <c r="AB37" s="2"/>
      <c r="AC37" s="2"/>
      <c r="AD37" s="2"/>
      <c r="AE37" s="218">
        <f t="shared" si="9"/>
        <v>0</v>
      </c>
      <c r="AF37" s="2"/>
      <c r="AG37" s="207">
        <f t="shared" si="10"/>
        <v>0</v>
      </c>
      <c r="AH37" s="2"/>
      <c r="AI37" s="14">
        <v>0.28999999999999998</v>
      </c>
      <c r="AJ37" s="205">
        <f t="shared" si="11"/>
        <v>16766639.999999998</v>
      </c>
      <c r="AK37" s="2"/>
      <c r="AL37" s="2">
        <v>20</v>
      </c>
      <c r="AM37" s="206">
        <f t="shared" si="12"/>
        <v>335332799.99999994</v>
      </c>
      <c r="AN37" s="206">
        <f t="shared" si="13"/>
        <v>50807999.999999993</v>
      </c>
      <c r="AO37" s="3"/>
      <c r="AP37" s="2"/>
      <c r="AQ37" s="204">
        <v>25</v>
      </c>
      <c r="AR37" s="2"/>
      <c r="AS37" s="203">
        <f t="shared" si="14"/>
        <v>0.14400000000000002</v>
      </c>
      <c r="AT37" s="2"/>
      <c r="AU37" s="203">
        <f t="shared" si="17"/>
        <v>0.04</v>
      </c>
      <c r="AV37" s="4"/>
      <c r="AW37" s="203">
        <f t="shared" si="18"/>
        <v>0.8</v>
      </c>
      <c r="AX37" s="3"/>
      <c r="AY37" s="2"/>
      <c r="AZ37" s="2"/>
    </row>
    <row r="38" spans="1:52" ht="19" customHeight="1">
      <c r="A38" s="1" t="s">
        <v>565</v>
      </c>
      <c r="B38" s="2" t="str">
        <f t="shared" si="2"/>
        <v>Ardente</v>
      </c>
      <c r="C38" s="2">
        <v>2006</v>
      </c>
      <c r="D38" s="2"/>
      <c r="E38" s="11">
        <f t="shared" si="3"/>
        <v>2006</v>
      </c>
      <c r="F38" s="12">
        <f>LOOKUP(E38,Total_wind_installed_capacity!$A$3:$A$28,Total_wind_installed_capacity!$H$3:$H$28)</f>
        <v>71.980399999999989</v>
      </c>
      <c r="G38" s="3" t="s">
        <v>109</v>
      </c>
      <c r="H38" s="2" t="s">
        <v>33</v>
      </c>
      <c r="I38" s="3" t="s">
        <v>73</v>
      </c>
      <c r="J38" s="2">
        <v>7260</v>
      </c>
      <c r="K38" s="2">
        <v>1</v>
      </c>
      <c r="L38" s="2">
        <f t="shared" si="4"/>
        <v>7260</v>
      </c>
      <c r="M38" s="3" t="s">
        <v>180</v>
      </c>
      <c r="N38" s="2" t="s">
        <v>348</v>
      </c>
      <c r="O38" s="2">
        <v>50</v>
      </c>
      <c r="P38" s="2">
        <v>55</v>
      </c>
      <c r="Q38" s="2" t="s">
        <v>340</v>
      </c>
      <c r="R38" s="222">
        <f t="shared" si="5"/>
        <v>0</v>
      </c>
      <c r="S38" s="2"/>
      <c r="T38" s="206">
        <f t="shared" si="6"/>
        <v>0</v>
      </c>
      <c r="U38" s="2"/>
      <c r="V38" s="204">
        <f t="shared" si="7"/>
        <v>0</v>
      </c>
      <c r="W38" s="2"/>
      <c r="X38" s="204">
        <f t="shared" si="8"/>
        <v>0</v>
      </c>
      <c r="Y38" s="2"/>
      <c r="Z38" s="2"/>
      <c r="AA38" s="2"/>
      <c r="AB38" s="2"/>
      <c r="AC38" s="2"/>
      <c r="AD38" s="2"/>
      <c r="AE38" s="218">
        <f t="shared" si="9"/>
        <v>0</v>
      </c>
      <c r="AF38" s="2"/>
      <c r="AG38" s="207">
        <f t="shared" si="10"/>
        <v>0</v>
      </c>
      <c r="AH38" s="2"/>
      <c r="AI38" s="14">
        <v>0</v>
      </c>
      <c r="AJ38" s="205">
        <f t="shared" si="11"/>
        <v>0</v>
      </c>
      <c r="AK38" s="2"/>
      <c r="AL38" s="2">
        <v>20</v>
      </c>
      <c r="AM38" s="206">
        <f t="shared" si="12"/>
        <v>0</v>
      </c>
      <c r="AN38" s="206">
        <f t="shared" si="13"/>
        <v>0</v>
      </c>
      <c r="AO38" s="3"/>
      <c r="AP38" s="2"/>
      <c r="AQ38" s="204">
        <v>19.2</v>
      </c>
      <c r="AR38" s="2"/>
      <c r="AS38" s="203">
        <f t="shared" si="14"/>
        <v>0.1875</v>
      </c>
      <c r="AT38" s="2"/>
      <c r="AU38" s="203">
        <f t="shared" si="17"/>
        <v>5.2083333333333336E-2</v>
      </c>
      <c r="AV38" s="4"/>
      <c r="AW38" s="203">
        <f t="shared" si="18"/>
        <v>1.0416666666666667</v>
      </c>
      <c r="AX38" s="3">
        <v>14.8</v>
      </c>
      <c r="AY38" s="2"/>
      <c r="AZ38" s="2"/>
    </row>
    <row r="39" spans="1:52" ht="19" customHeight="1">
      <c r="A39" s="1" t="s">
        <v>562</v>
      </c>
      <c r="B39" s="2" t="str">
        <f t="shared" si="2"/>
        <v>Lenzen</v>
      </c>
      <c r="C39" s="2">
        <v>1992</v>
      </c>
      <c r="D39" s="2"/>
      <c r="E39" s="11">
        <f t="shared" si="3"/>
        <v>1992</v>
      </c>
      <c r="F39" s="12">
        <f>LOOKUP(E39,Total_wind_installed_capacity!$A$3:$A$28,Total_wind_installed_capacity!$H$3:$H$28)</f>
        <v>2.6786549999999996</v>
      </c>
      <c r="G39" s="3" t="s">
        <v>27</v>
      </c>
      <c r="H39" s="2" t="s">
        <v>361</v>
      </c>
      <c r="I39" s="3" t="s">
        <v>212</v>
      </c>
      <c r="J39" s="2">
        <v>0.3</v>
      </c>
      <c r="K39" s="2">
        <v>1</v>
      </c>
      <c r="L39" s="2">
        <f t="shared" si="4"/>
        <v>0.3</v>
      </c>
      <c r="M39" s="3" t="s">
        <v>350</v>
      </c>
      <c r="N39" s="13" t="s">
        <v>339</v>
      </c>
      <c r="O39" s="2">
        <v>1.5</v>
      </c>
      <c r="P39" s="2">
        <v>11.6</v>
      </c>
      <c r="Q39" s="2" t="s">
        <v>340</v>
      </c>
      <c r="R39" s="222">
        <f t="shared" si="5"/>
        <v>6554.982857142857</v>
      </c>
      <c r="S39" s="2"/>
      <c r="T39" s="206">
        <f t="shared" si="6"/>
        <v>1820.8285714285714</v>
      </c>
      <c r="U39" s="2"/>
      <c r="V39" s="204">
        <f t="shared" si="7"/>
        <v>21.849942857142857</v>
      </c>
      <c r="W39" s="2"/>
      <c r="X39" s="204">
        <f t="shared" si="8"/>
        <v>6.0694285714285714</v>
      </c>
      <c r="Y39" s="2"/>
      <c r="Z39" s="2"/>
      <c r="AA39" s="2"/>
      <c r="AB39" s="2"/>
      <c r="AC39" s="2"/>
      <c r="AD39" s="2"/>
      <c r="AE39" s="218">
        <f t="shared" si="9"/>
        <v>0</v>
      </c>
      <c r="AF39" s="2"/>
      <c r="AG39" s="207">
        <f t="shared" si="10"/>
        <v>0</v>
      </c>
      <c r="AH39" s="2"/>
      <c r="AI39" s="14">
        <v>0.38799999999999996</v>
      </c>
      <c r="AJ39" s="205">
        <f t="shared" si="11"/>
        <v>1019.6639999999999</v>
      </c>
      <c r="AK39" s="2"/>
      <c r="AL39" s="2">
        <v>20</v>
      </c>
      <c r="AM39" s="206">
        <f t="shared" si="12"/>
        <v>20393.28</v>
      </c>
      <c r="AN39" s="206">
        <f t="shared" si="13"/>
        <v>67977600</v>
      </c>
      <c r="AO39" s="3"/>
      <c r="AP39" s="2"/>
      <c r="AQ39" s="204">
        <v>11.2</v>
      </c>
      <c r="AR39" s="2"/>
      <c r="AS39" s="203">
        <f t="shared" si="14"/>
        <v>0.32142857142857145</v>
      </c>
      <c r="AT39" s="2"/>
      <c r="AU39" s="203">
        <f t="shared" si="17"/>
        <v>8.9285714285714288E-2</v>
      </c>
      <c r="AV39" s="4"/>
      <c r="AW39" s="203">
        <f t="shared" si="18"/>
        <v>1.7857142857142858</v>
      </c>
      <c r="AX39" s="3"/>
      <c r="AY39" s="2"/>
      <c r="AZ39" s="2"/>
    </row>
    <row r="40" spans="1:52" ht="19" customHeight="1">
      <c r="A40" s="1" t="s">
        <v>562</v>
      </c>
      <c r="B40" s="2" t="str">
        <f t="shared" si="2"/>
        <v>Lenzen</v>
      </c>
      <c r="C40" s="2">
        <v>1998</v>
      </c>
      <c r="D40" s="2"/>
      <c r="E40" s="11">
        <f t="shared" si="3"/>
        <v>1998</v>
      </c>
      <c r="F40" s="12">
        <f>LOOKUP(E40,Total_wind_installed_capacity!$A$3:$A$28,Total_wind_installed_capacity!$H$3:$H$28)</f>
        <v>8.7342999999999993</v>
      </c>
      <c r="G40" s="3" t="s">
        <v>27</v>
      </c>
      <c r="H40" s="2" t="s">
        <v>362</v>
      </c>
      <c r="I40" s="3" t="s">
        <v>363</v>
      </c>
      <c r="J40" s="2">
        <v>2.5</v>
      </c>
      <c r="K40" s="2">
        <v>1</v>
      </c>
      <c r="L40" s="2">
        <f t="shared" si="4"/>
        <v>2.5</v>
      </c>
      <c r="M40" s="3" t="s">
        <v>180</v>
      </c>
      <c r="N40" s="13" t="s">
        <v>339</v>
      </c>
      <c r="O40" s="2"/>
      <c r="P40" s="2"/>
      <c r="Q40" s="2" t="s">
        <v>356</v>
      </c>
      <c r="R40" s="222">
        <f t="shared" si="5"/>
        <v>58795.932203389835</v>
      </c>
      <c r="S40" s="2"/>
      <c r="T40" s="206">
        <f t="shared" si="6"/>
        <v>16332.203389830509</v>
      </c>
      <c r="U40" s="2"/>
      <c r="V40" s="204">
        <f t="shared" si="7"/>
        <v>23.518372881355937</v>
      </c>
      <c r="W40" s="2"/>
      <c r="X40" s="204">
        <f t="shared" si="8"/>
        <v>6.5328813559322034</v>
      </c>
      <c r="Y40" s="2"/>
      <c r="Z40" s="2"/>
      <c r="AA40" s="2"/>
      <c r="AB40" s="2"/>
      <c r="AC40" s="2"/>
      <c r="AD40" s="2"/>
      <c r="AE40" s="218">
        <f t="shared" si="9"/>
        <v>4047.12</v>
      </c>
      <c r="AF40" s="2"/>
      <c r="AG40" s="207">
        <f t="shared" si="10"/>
        <v>0.134904</v>
      </c>
      <c r="AH40" s="2"/>
      <c r="AI40" s="14">
        <v>0.22</v>
      </c>
      <c r="AJ40" s="205">
        <f t="shared" si="11"/>
        <v>4818</v>
      </c>
      <c r="AK40" s="2"/>
      <c r="AL40" s="2">
        <v>20</v>
      </c>
      <c r="AM40" s="206">
        <f t="shared" si="12"/>
        <v>96360</v>
      </c>
      <c r="AN40" s="206">
        <f t="shared" si="13"/>
        <v>38544000</v>
      </c>
      <c r="AO40" s="3"/>
      <c r="AP40" s="2"/>
      <c r="AQ40" s="204">
        <v>5.9</v>
      </c>
      <c r="AR40" s="2"/>
      <c r="AS40" s="203">
        <f t="shared" si="14"/>
        <v>0.61016949152542377</v>
      </c>
      <c r="AT40" s="2"/>
      <c r="AU40" s="203">
        <f t="shared" si="17"/>
        <v>0.16949152542372881</v>
      </c>
      <c r="AV40" s="4"/>
      <c r="AW40" s="203">
        <f t="shared" si="18"/>
        <v>3.3898305084745761</v>
      </c>
      <c r="AX40" s="3">
        <v>42</v>
      </c>
      <c r="AY40" s="2"/>
      <c r="AZ40" s="2"/>
    </row>
    <row r="41" spans="1:52" ht="19" customHeight="1">
      <c r="A41" s="1" t="s">
        <v>562</v>
      </c>
      <c r="B41" s="2" t="str">
        <f t="shared" si="2"/>
        <v>Lenzen</v>
      </c>
      <c r="C41" s="2">
        <v>1991</v>
      </c>
      <c r="D41" s="2"/>
      <c r="E41" s="11">
        <f t="shared" si="3"/>
        <v>1991</v>
      </c>
      <c r="F41" s="12">
        <f>LOOKUP(E41,Total_wind_installed_capacity!$A$3:$A$28,Total_wind_installed_capacity!$H$3:$H$28)</f>
        <v>2.5305050000000002</v>
      </c>
      <c r="G41" s="3" t="s">
        <v>27</v>
      </c>
      <c r="H41" s="2" t="s">
        <v>349</v>
      </c>
      <c r="I41" s="3" t="s">
        <v>212</v>
      </c>
      <c r="J41" s="2">
        <v>30</v>
      </c>
      <c r="K41" s="2">
        <v>1</v>
      </c>
      <c r="L41" s="2">
        <f t="shared" si="4"/>
        <v>30</v>
      </c>
      <c r="M41" s="3" t="s">
        <v>358</v>
      </c>
      <c r="N41" s="13" t="s">
        <v>339</v>
      </c>
      <c r="O41" s="2">
        <v>12.5</v>
      </c>
      <c r="P41" s="2">
        <v>14.8</v>
      </c>
      <c r="Q41" s="2" t="s">
        <v>340</v>
      </c>
      <c r="R41" s="222">
        <f t="shared" si="5"/>
        <v>230907.66101694919</v>
      </c>
      <c r="S41" s="2"/>
      <c r="T41" s="206">
        <f t="shared" si="6"/>
        <v>64141.016949152552</v>
      </c>
      <c r="U41" s="2"/>
      <c r="V41" s="204">
        <f t="shared" si="7"/>
        <v>7.6969220338983062</v>
      </c>
      <c r="W41" s="2"/>
      <c r="X41" s="204">
        <f t="shared" si="8"/>
        <v>2.1380338983050851</v>
      </c>
      <c r="Y41" s="2"/>
      <c r="Z41" s="2"/>
      <c r="AA41" s="2"/>
      <c r="AB41" s="2"/>
      <c r="AC41" s="2"/>
      <c r="AD41" s="2"/>
      <c r="AE41" s="218">
        <f t="shared" si="9"/>
        <v>0</v>
      </c>
      <c r="AF41" s="2"/>
      <c r="AG41" s="207">
        <f t="shared" si="10"/>
        <v>0</v>
      </c>
      <c r="AH41" s="2"/>
      <c r="AI41" s="14">
        <v>0.14400000000000002</v>
      </c>
      <c r="AJ41" s="205">
        <f t="shared" si="11"/>
        <v>37843.200000000004</v>
      </c>
      <c r="AK41" s="2"/>
      <c r="AL41" s="2">
        <v>20</v>
      </c>
      <c r="AM41" s="206">
        <f t="shared" si="12"/>
        <v>756864.00000000012</v>
      </c>
      <c r="AN41" s="206">
        <f t="shared" si="13"/>
        <v>25228800.000000004</v>
      </c>
      <c r="AO41" s="3"/>
      <c r="AP41" s="2"/>
      <c r="AQ41" s="204">
        <v>11.8</v>
      </c>
      <c r="AR41" s="2"/>
      <c r="AS41" s="203">
        <f t="shared" si="14"/>
        <v>0.30508474576271188</v>
      </c>
      <c r="AT41" s="2"/>
      <c r="AU41" s="203">
        <f t="shared" si="17"/>
        <v>8.4745762711864403E-2</v>
      </c>
      <c r="AV41" s="4"/>
      <c r="AW41" s="203">
        <f t="shared" si="18"/>
        <v>1.6949152542372881</v>
      </c>
      <c r="AX41" s="3"/>
      <c r="AY41" s="2"/>
      <c r="AZ41" s="2"/>
    </row>
    <row r="42" spans="1:52" ht="19" customHeight="1">
      <c r="A42" s="1" t="s">
        <v>562</v>
      </c>
      <c r="B42" s="2" t="str">
        <f t="shared" si="2"/>
        <v>Lenzen</v>
      </c>
      <c r="C42" s="2">
        <v>1996</v>
      </c>
      <c r="D42" s="2"/>
      <c r="E42" s="11">
        <f t="shared" si="3"/>
        <v>1996</v>
      </c>
      <c r="F42" s="12">
        <f>LOOKUP(E42,Total_wind_installed_capacity!$A$3:$A$28,Total_wind_installed_capacity!$H$3:$H$28)</f>
        <v>5.6738550000000005</v>
      </c>
      <c r="G42" s="3" t="s">
        <v>27</v>
      </c>
      <c r="H42" s="2" t="s">
        <v>364</v>
      </c>
      <c r="I42" s="3" t="s">
        <v>365</v>
      </c>
      <c r="J42" s="2">
        <v>30</v>
      </c>
      <c r="K42" s="2">
        <v>1</v>
      </c>
      <c r="L42" s="2">
        <f t="shared" si="4"/>
        <v>30</v>
      </c>
      <c r="M42" s="3" t="s">
        <v>358</v>
      </c>
      <c r="N42" s="13" t="s">
        <v>339</v>
      </c>
      <c r="O42" s="2">
        <v>12.5</v>
      </c>
      <c r="P42" s="2">
        <v>22</v>
      </c>
      <c r="Q42" s="2" t="s">
        <v>340</v>
      </c>
      <c r="R42" s="222">
        <f t="shared" si="5"/>
        <v>482195.61290322582</v>
      </c>
      <c r="S42" s="2"/>
      <c r="T42" s="206">
        <f t="shared" si="6"/>
        <v>133943.22580645161</v>
      </c>
      <c r="U42" s="2"/>
      <c r="V42" s="204">
        <f t="shared" si="7"/>
        <v>16.073187096774195</v>
      </c>
      <c r="W42" s="2"/>
      <c r="X42" s="204">
        <f t="shared" si="8"/>
        <v>4.4647741935483873</v>
      </c>
      <c r="Y42" s="2"/>
      <c r="Z42" s="2"/>
      <c r="AA42" s="2"/>
      <c r="AB42" s="2"/>
      <c r="AC42" s="2"/>
      <c r="AD42" s="2"/>
      <c r="AE42" s="218">
        <f t="shared" si="9"/>
        <v>21591.648000000001</v>
      </c>
      <c r="AF42" s="2"/>
      <c r="AG42" s="207">
        <f t="shared" si="10"/>
        <v>0.71972160000000007</v>
      </c>
      <c r="AH42" s="2"/>
      <c r="AI42" s="14">
        <v>7.9000000000000001E-2</v>
      </c>
      <c r="AJ42" s="205">
        <f t="shared" si="11"/>
        <v>20761.2</v>
      </c>
      <c r="AK42" s="2"/>
      <c r="AL42" s="2">
        <v>20</v>
      </c>
      <c r="AM42" s="206">
        <f t="shared" si="12"/>
        <v>415224</v>
      </c>
      <c r="AN42" s="206">
        <f t="shared" si="13"/>
        <v>13840800</v>
      </c>
      <c r="AO42" s="3"/>
      <c r="AP42" s="2"/>
      <c r="AQ42" s="204">
        <v>3.1</v>
      </c>
      <c r="AR42" s="2"/>
      <c r="AS42" s="203">
        <f t="shared" si="14"/>
        <v>1.1612903225806452</v>
      </c>
      <c r="AT42" s="2"/>
      <c r="AU42" s="203">
        <f t="shared" si="17"/>
        <v>0.32258064516129031</v>
      </c>
      <c r="AV42" s="4"/>
      <c r="AW42" s="203">
        <f t="shared" si="18"/>
        <v>6.4516129032258061</v>
      </c>
      <c r="AX42" s="3">
        <v>52</v>
      </c>
      <c r="AY42" s="2"/>
      <c r="AZ42" s="2"/>
    </row>
    <row r="43" spans="1:52" ht="19" customHeight="1">
      <c r="A43" s="1" t="s">
        <v>562</v>
      </c>
      <c r="B43" s="2" t="str">
        <f t="shared" si="2"/>
        <v>Lenzen</v>
      </c>
      <c r="C43" s="2">
        <v>1998</v>
      </c>
      <c r="D43" s="2"/>
      <c r="E43" s="11">
        <f t="shared" si="3"/>
        <v>1998</v>
      </c>
      <c r="F43" s="12">
        <f>LOOKUP(E43,Total_wind_installed_capacity!$A$3:$A$28,Total_wind_installed_capacity!$H$3:$H$28)</f>
        <v>8.7342999999999993</v>
      </c>
      <c r="G43" s="3" t="s">
        <v>27</v>
      </c>
      <c r="H43" s="2" t="s">
        <v>362</v>
      </c>
      <c r="I43" s="3" t="s">
        <v>363</v>
      </c>
      <c r="J43" s="2">
        <v>30</v>
      </c>
      <c r="K43" s="2">
        <v>1</v>
      </c>
      <c r="L43" s="2">
        <f t="shared" si="4"/>
        <v>30</v>
      </c>
      <c r="M43" s="3" t="s">
        <v>180</v>
      </c>
      <c r="N43" s="13" t="s">
        <v>339</v>
      </c>
      <c r="O43" s="2"/>
      <c r="P43" s="2"/>
      <c r="Q43" s="2" t="s">
        <v>356</v>
      </c>
      <c r="R43" s="222">
        <f t="shared" si="5"/>
        <v>501536.38554216863</v>
      </c>
      <c r="S43" s="2"/>
      <c r="T43" s="206">
        <f t="shared" si="6"/>
        <v>139315.6626506024</v>
      </c>
      <c r="U43" s="2"/>
      <c r="V43" s="204">
        <f t="shared" si="7"/>
        <v>16.717879518072287</v>
      </c>
      <c r="W43" s="2"/>
      <c r="X43" s="204">
        <f t="shared" si="8"/>
        <v>4.6438554216867471</v>
      </c>
      <c r="Y43" s="2"/>
      <c r="Z43" s="2"/>
      <c r="AA43" s="2"/>
      <c r="AB43" s="2"/>
      <c r="AC43" s="2"/>
      <c r="AD43" s="2"/>
      <c r="AE43" s="218">
        <f t="shared" si="9"/>
        <v>33533.279999999999</v>
      </c>
      <c r="AF43" s="2"/>
      <c r="AG43" s="207">
        <f t="shared" si="10"/>
        <v>1.01616</v>
      </c>
      <c r="AH43" s="2"/>
      <c r="AI43" s="14">
        <v>0.22</v>
      </c>
      <c r="AJ43" s="205">
        <f t="shared" si="11"/>
        <v>57816</v>
      </c>
      <c r="AK43" s="2"/>
      <c r="AL43" s="2">
        <v>20</v>
      </c>
      <c r="AM43" s="206">
        <f t="shared" si="12"/>
        <v>1156320</v>
      </c>
      <c r="AN43" s="206">
        <f t="shared" si="13"/>
        <v>38544000</v>
      </c>
      <c r="AO43" s="3"/>
      <c r="AP43" s="2"/>
      <c r="AQ43" s="204">
        <v>8.3000000000000007</v>
      </c>
      <c r="AR43" s="2"/>
      <c r="AS43" s="203">
        <f t="shared" si="14"/>
        <v>0.4337349397590361</v>
      </c>
      <c r="AT43" s="2"/>
      <c r="AU43" s="203">
        <f t="shared" si="17"/>
        <v>0.12048192771084336</v>
      </c>
      <c r="AV43" s="4"/>
      <c r="AW43" s="203">
        <f t="shared" si="18"/>
        <v>2.4096385542168672</v>
      </c>
      <c r="AX43" s="3">
        <v>29</v>
      </c>
      <c r="AY43" s="2"/>
      <c r="AZ43" s="2"/>
    </row>
    <row r="44" spans="1:52" ht="19" customHeight="1">
      <c r="A44" s="1" t="s">
        <v>562</v>
      </c>
      <c r="B44" s="2" t="str">
        <f t="shared" si="2"/>
        <v>Lenzen</v>
      </c>
      <c r="C44" s="2">
        <v>1991</v>
      </c>
      <c r="D44" s="2"/>
      <c r="E44" s="11">
        <f t="shared" si="3"/>
        <v>1991</v>
      </c>
      <c r="F44" s="12">
        <f>LOOKUP(E44,Total_wind_installed_capacity!$A$3:$A$28,Total_wind_installed_capacity!$H$3:$H$28)</f>
        <v>2.5305050000000002</v>
      </c>
      <c r="G44" s="3" t="s">
        <v>27</v>
      </c>
      <c r="H44" s="2" t="s">
        <v>36</v>
      </c>
      <c r="I44" s="3" t="s">
        <v>212</v>
      </c>
      <c r="J44" s="2">
        <v>33</v>
      </c>
      <c r="K44" s="2">
        <v>1</v>
      </c>
      <c r="L44" s="2">
        <f t="shared" si="4"/>
        <v>33</v>
      </c>
      <c r="M44" s="3" t="s">
        <v>358</v>
      </c>
      <c r="N44" s="13" t="s">
        <v>339</v>
      </c>
      <c r="O44" s="2">
        <v>14.8</v>
      </c>
      <c r="P44" s="2">
        <v>22</v>
      </c>
      <c r="Q44" s="2" t="s">
        <v>340</v>
      </c>
      <c r="R44" s="222">
        <f t="shared" si="5"/>
        <v>299963.01176470594</v>
      </c>
      <c r="S44" s="2"/>
      <c r="T44" s="206">
        <f t="shared" si="6"/>
        <v>83323.058823529427</v>
      </c>
      <c r="U44" s="2"/>
      <c r="V44" s="204">
        <f t="shared" si="7"/>
        <v>9.0897882352941188</v>
      </c>
      <c r="W44" s="2"/>
      <c r="X44" s="204">
        <f t="shared" si="8"/>
        <v>2.5249411764705889</v>
      </c>
      <c r="Y44" s="2"/>
      <c r="Z44" s="2"/>
      <c r="AA44" s="2"/>
      <c r="AB44" s="2"/>
      <c r="AC44" s="2"/>
      <c r="AD44" s="2"/>
      <c r="AE44" s="218">
        <f t="shared" si="9"/>
        <v>0</v>
      </c>
      <c r="AF44" s="2"/>
      <c r="AG44" s="207">
        <f t="shared" si="10"/>
        <v>0</v>
      </c>
      <c r="AH44" s="2"/>
      <c r="AI44" s="14">
        <v>0.29399999999999998</v>
      </c>
      <c r="AJ44" s="205">
        <f t="shared" si="11"/>
        <v>84989.51999999999</v>
      </c>
      <c r="AK44" s="2"/>
      <c r="AL44" s="2">
        <v>20</v>
      </c>
      <c r="AM44" s="206">
        <f t="shared" si="12"/>
        <v>1699790.4</v>
      </c>
      <c r="AN44" s="206">
        <f t="shared" si="13"/>
        <v>51508799.999999993</v>
      </c>
      <c r="AO44" s="3"/>
      <c r="AP44" s="2"/>
      <c r="AQ44" s="204">
        <v>20.399999999999999</v>
      </c>
      <c r="AR44" s="2"/>
      <c r="AS44" s="203">
        <f t="shared" si="14"/>
        <v>0.17647058823529416</v>
      </c>
      <c r="AT44" s="2"/>
      <c r="AU44" s="203">
        <f t="shared" si="17"/>
        <v>4.9019607843137261E-2</v>
      </c>
      <c r="AV44" s="4"/>
      <c r="AW44" s="203">
        <f t="shared" si="18"/>
        <v>0.98039215686274517</v>
      </c>
      <c r="AX44" s="3"/>
      <c r="AY44" s="2"/>
      <c r="AZ44" s="2"/>
    </row>
    <row r="45" spans="1:52" ht="19" customHeight="1">
      <c r="A45" s="1" t="s">
        <v>562</v>
      </c>
      <c r="B45" s="2" t="str">
        <f t="shared" si="2"/>
        <v>Lenzen</v>
      </c>
      <c r="C45" s="2">
        <v>1991</v>
      </c>
      <c r="D45" s="2"/>
      <c r="E45" s="11">
        <f t="shared" si="3"/>
        <v>1991</v>
      </c>
      <c r="F45" s="12">
        <f>LOOKUP(E45,Total_wind_installed_capacity!$A$3:$A$28,Total_wind_installed_capacity!$H$3:$H$28)</f>
        <v>2.5305050000000002</v>
      </c>
      <c r="G45" s="3" t="s">
        <v>27</v>
      </c>
      <c r="H45" s="2" t="s">
        <v>36</v>
      </c>
      <c r="I45" s="3" t="s">
        <v>212</v>
      </c>
      <c r="J45" s="2">
        <v>45</v>
      </c>
      <c r="K45" s="2">
        <v>1</v>
      </c>
      <c r="L45" s="2">
        <f t="shared" si="4"/>
        <v>45</v>
      </c>
      <c r="M45" s="3" t="s">
        <v>180</v>
      </c>
      <c r="N45" s="13" t="s">
        <v>339</v>
      </c>
      <c r="O45" s="2">
        <v>12.5</v>
      </c>
      <c r="P45" s="2"/>
      <c r="Q45" s="2" t="s">
        <v>340</v>
      </c>
      <c r="R45" s="222">
        <f t="shared" si="5"/>
        <v>503074.28571428574</v>
      </c>
      <c r="S45" s="2"/>
      <c r="T45" s="206">
        <f t="shared" si="6"/>
        <v>139742.85714285716</v>
      </c>
      <c r="U45" s="2"/>
      <c r="V45" s="204">
        <f t="shared" si="7"/>
        <v>11.179428571428572</v>
      </c>
      <c r="W45" s="2"/>
      <c r="X45" s="204">
        <f t="shared" si="8"/>
        <v>3.1053968253968258</v>
      </c>
      <c r="Y45" s="2"/>
      <c r="Z45" s="2"/>
      <c r="AA45" s="2"/>
      <c r="AB45" s="2"/>
      <c r="AC45" s="2"/>
      <c r="AD45" s="2"/>
      <c r="AE45" s="218">
        <f t="shared" si="9"/>
        <v>0</v>
      </c>
      <c r="AF45" s="2"/>
      <c r="AG45" s="207">
        <f t="shared" si="10"/>
        <v>0</v>
      </c>
      <c r="AH45" s="2"/>
      <c r="AI45" s="14">
        <v>0.33500000000000002</v>
      </c>
      <c r="AJ45" s="205">
        <f t="shared" si="11"/>
        <v>132057</v>
      </c>
      <c r="AK45" s="2"/>
      <c r="AL45" s="2">
        <v>20</v>
      </c>
      <c r="AM45" s="206">
        <f t="shared" si="12"/>
        <v>2641140</v>
      </c>
      <c r="AN45" s="206">
        <f t="shared" si="13"/>
        <v>58692000</v>
      </c>
      <c r="AO45" s="3"/>
      <c r="AP45" s="2"/>
      <c r="AQ45" s="204">
        <v>18.899999999999999</v>
      </c>
      <c r="AR45" s="2"/>
      <c r="AS45" s="203">
        <f t="shared" si="14"/>
        <v>0.19047619047619049</v>
      </c>
      <c r="AT45" s="2"/>
      <c r="AU45" s="203">
        <f t="shared" si="17"/>
        <v>5.2910052910052914E-2</v>
      </c>
      <c r="AV45" s="4"/>
      <c r="AW45" s="203">
        <f t="shared" si="18"/>
        <v>1.0582010582010584</v>
      </c>
      <c r="AX45" s="3"/>
      <c r="AY45" s="2"/>
      <c r="AZ45" s="2"/>
    </row>
    <row r="46" spans="1:52" ht="19" customHeight="1">
      <c r="A46" s="1" t="s">
        <v>562</v>
      </c>
      <c r="B46" s="2" t="str">
        <f t="shared" si="2"/>
        <v>Lenzen</v>
      </c>
      <c r="C46" s="2">
        <v>1990</v>
      </c>
      <c r="D46" s="2"/>
      <c r="E46" s="11">
        <f t="shared" si="3"/>
        <v>1990</v>
      </c>
      <c r="F46" s="12">
        <f>LOOKUP(E46,Total_wind_installed_capacity!$A$3:$A$28,Total_wind_installed_capacity!$H$3:$H$28)</f>
        <v>2.236005</v>
      </c>
      <c r="G46" s="3" t="s">
        <v>27</v>
      </c>
      <c r="H46" s="2" t="s">
        <v>36</v>
      </c>
      <c r="I46" s="3" t="s">
        <v>205</v>
      </c>
      <c r="J46" s="2">
        <v>95</v>
      </c>
      <c r="K46" s="2">
        <v>1</v>
      </c>
      <c r="L46" s="2">
        <f t="shared" si="4"/>
        <v>95</v>
      </c>
      <c r="M46" s="3" t="s">
        <v>350</v>
      </c>
      <c r="N46" s="2" t="s">
        <v>348</v>
      </c>
      <c r="O46" s="2">
        <v>19</v>
      </c>
      <c r="P46" s="2">
        <v>22.6</v>
      </c>
      <c r="Q46" s="2" t="s">
        <v>340</v>
      </c>
      <c r="R46" s="222">
        <f t="shared" si="5"/>
        <v>211476.70588235292</v>
      </c>
      <c r="S46" s="2"/>
      <c r="T46" s="206">
        <f t="shared" si="6"/>
        <v>58743.529411764699</v>
      </c>
      <c r="U46" s="2"/>
      <c r="V46" s="204">
        <f t="shared" si="7"/>
        <v>2.2260705882352942</v>
      </c>
      <c r="W46" s="2"/>
      <c r="X46" s="204">
        <f t="shared" si="8"/>
        <v>0.61835294117647055</v>
      </c>
      <c r="Y46" s="2"/>
      <c r="Z46" s="2"/>
      <c r="AA46" s="2"/>
      <c r="AB46" s="2"/>
      <c r="AC46" s="2"/>
      <c r="AD46" s="2"/>
      <c r="AE46" s="218">
        <f t="shared" si="9"/>
        <v>0</v>
      </c>
      <c r="AF46" s="2"/>
      <c r="AG46" s="207">
        <f t="shared" si="10"/>
        <v>0</v>
      </c>
      <c r="AH46" s="2"/>
      <c r="AI46" s="14">
        <v>0.252</v>
      </c>
      <c r="AJ46" s="205">
        <f t="shared" si="11"/>
        <v>209714.4</v>
      </c>
      <c r="AK46" s="2"/>
      <c r="AL46" s="2">
        <v>20</v>
      </c>
      <c r="AM46" s="206">
        <f t="shared" si="12"/>
        <v>4194288</v>
      </c>
      <c r="AN46" s="206">
        <f t="shared" si="13"/>
        <v>44150400</v>
      </c>
      <c r="AO46" s="3"/>
      <c r="AP46" s="2"/>
      <c r="AQ46" s="204">
        <v>71.400000000000006</v>
      </c>
      <c r="AR46" s="2"/>
      <c r="AS46" s="203">
        <f t="shared" si="14"/>
        <v>5.0420168067226885E-2</v>
      </c>
      <c r="AT46" s="2"/>
      <c r="AU46" s="203">
        <f t="shared" si="17"/>
        <v>1.4005602240896357E-2</v>
      </c>
      <c r="AV46" s="4"/>
      <c r="AW46" s="203">
        <f t="shared" si="18"/>
        <v>0.28011204481792717</v>
      </c>
      <c r="AX46" s="3"/>
      <c r="AY46" s="2"/>
      <c r="AZ46" s="2"/>
    </row>
    <row r="47" spans="1:52" ht="19" customHeight="1">
      <c r="A47" s="1" t="s">
        <v>562</v>
      </c>
      <c r="B47" s="2" t="str">
        <f t="shared" si="2"/>
        <v>Lenzen</v>
      </c>
      <c r="C47" s="2">
        <v>1991</v>
      </c>
      <c r="D47" s="2"/>
      <c r="E47" s="11">
        <f t="shared" si="3"/>
        <v>1991</v>
      </c>
      <c r="F47" s="12">
        <f>LOOKUP(E47,Total_wind_installed_capacity!$A$3:$A$28,Total_wind_installed_capacity!$H$3:$H$28)</f>
        <v>2.5305050000000002</v>
      </c>
      <c r="G47" s="3" t="s">
        <v>27</v>
      </c>
      <c r="H47" s="2" t="s">
        <v>366</v>
      </c>
      <c r="I47" s="3" t="s">
        <v>212</v>
      </c>
      <c r="J47" s="2">
        <v>95</v>
      </c>
      <c r="K47" s="2">
        <v>1</v>
      </c>
      <c r="L47" s="2">
        <f t="shared" si="4"/>
        <v>95</v>
      </c>
      <c r="M47" s="3" t="s">
        <v>350</v>
      </c>
      <c r="N47" s="2" t="s">
        <v>348</v>
      </c>
      <c r="O47" s="2">
        <v>19</v>
      </c>
      <c r="P47" s="2">
        <v>22.6</v>
      </c>
      <c r="Q47" s="2" t="s">
        <v>340</v>
      </c>
      <c r="R47" s="222">
        <f t="shared" si="5"/>
        <v>835596.73469387763</v>
      </c>
      <c r="S47" s="2"/>
      <c r="T47" s="206">
        <f t="shared" si="6"/>
        <v>232110.20408163266</v>
      </c>
      <c r="U47" s="2"/>
      <c r="V47" s="204">
        <f t="shared" si="7"/>
        <v>8.7957551020408165</v>
      </c>
      <c r="W47" s="2"/>
      <c r="X47" s="204">
        <f t="shared" si="8"/>
        <v>2.443265306122449</v>
      </c>
      <c r="Y47" s="2"/>
      <c r="Z47" s="2"/>
      <c r="AA47" s="2"/>
      <c r="AB47" s="2"/>
      <c r="AC47" s="2"/>
      <c r="AD47" s="2"/>
      <c r="AE47" s="218">
        <f t="shared" si="9"/>
        <v>0</v>
      </c>
      <c r="AF47" s="2"/>
      <c r="AG47" s="207">
        <f t="shared" si="10"/>
        <v>0</v>
      </c>
      <c r="AH47" s="2"/>
      <c r="AI47" s="14">
        <v>0.20499999999999999</v>
      </c>
      <c r="AJ47" s="205">
        <f t="shared" si="11"/>
        <v>170601</v>
      </c>
      <c r="AK47" s="2"/>
      <c r="AL47" s="2">
        <v>20</v>
      </c>
      <c r="AM47" s="206">
        <f t="shared" si="12"/>
        <v>3412020</v>
      </c>
      <c r="AN47" s="206">
        <f t="shared" si="13"/>
        <v>35916000</v>
      </c>
      <c r="AO47" s="3"/>
      <c r="AP47" s="2"/>
      <c r="AQ47" s="204">
        <v>14.7</v>
      </c>
      <c r="AR47" s="2"/>
      <c r="AS47" s="203">
        <f t="shared" si="14"/>
        <v>0.24489795918367349</v>
      </c>
      <c r="AT47" s="2"/>
      <c r="AU47" s="203">
        <f t="shared" si="17"/>
        <v>6.8027210884353748E-2</v>
      </c>
      <c r="AV47" s="4"/>
      <c r="AW47" s="203">
        <f t="shared" si="18"/>
        <v>1.360544217687075</v>
      </c>
      <c r="AX47" s="3"/>
      <c r="AY47" s="2"/>
      <c r="AZ47" s="2"/>
    </row>
    <row r="48" spans="1:52" ht="19" customHeight="1">
      <c r="A48" s="1" t="s">
        <v>562</v>
      </c>
      <c r="B48" s="2" t="str">
        <f t="shared" si="2"/>
        <v>Lenzen</v>
      </c>
      <c r="C48" s="2">
        <v>1991</v>
      </c>
      <c r="D48" s="2"/>
      <c r="E48" s="11">
        <f t="shared" si="3"/>
        <v>1991</v>
      </c>
      <c r="F48" s="12">
        <f>LOOKUP(E48,Total_wind_installed_capacity!$A$3:$A$28,Total_wind_installed_capacity!$H$3:$H$28)</f>
        <v>2.5305050000000002</v>
      </c>
      <c r="G48" s="3" t="s">
        <v>27</v>
      </c>
      <c r="H48" s="2" t="s">
        <v>36</v>
      </c>
      <c r="I48" s="3" t="s">
        <v>212</v>
      </c>
      <c r="J48" s="2">
        <v>95</v>
      </c>
      <c r="K48" s="2">
        <v>1</v>
      </c>
      <c r="L48" s="2">
        <f t="shared" si="4"/>
        <v>95</v>
      </c>
      <c r="M48" s="3" t="s">
        <v>350</v>
      </c>
      <c r="N48" s="13" t="s">
        <v>339</v>
      </c>
      <c r="O48" s="2">
        <v>19</v>
      </c>
      <c r="P48" s="2">
        <v>22.6</v>
      </c>
      <c r="Q48" s="2" t="s">
        <v>340</v>
      </c>
      <c r="R48" s="222">
        <f t="shared" si="5"/>
        <v>626697.55102040805</v>
      </c>
      <c r="S48" s="2"/>
      <c r="T48" s="206">
        <f t="shared" si="6"/>
        <v>174082.65306122447</v>
      </c>
      <c r="U48" s="2"/>
      <c r="V48" s="204">
        <f t="shared" si="7"/>
        <v>6.596816326530611</v>
      </c>
      <c r="W48" s="2"/>
      <c r="X48" s="204">
        <f t="shared" si="8"/>
        <v>1.8324489795918364</v>
      </c>
      <c r="Y48" s="2"/>
      <c r="Z48" s="2"/>
      <c r="AA48" s="2"/>
      <c r="AB48" s="2"/>
      <c r="AC48" s="2"/>
      <c r="AD48" s="2"/>
      <c r="AE48" s="218">
        <f t="shared" si="9"/>
        <v>0</v>
      </c>
      <c r="AF48" s="2"/>
      <c r="AG48" s="207">
        <f t="shared" si="10"/>
        <v>0</v>
      </c>
      <c r="AH48" s="2"/>
      <c r="AI48" s="14">
        <v>0.20499999999999999</v>
      </c>
      <c r="AJ48" s="205">
        <f t="shared" si="11"/>
        <v>170601</v>
      </c>
      <c r="AK48" s="2"/>
      <c r="AL48" s="2">
        <v>20</v>
      </c>
      <c r="AM48" s="206">
        <f t="shared" si="12"/>
        <v>3412020</v>
      </c>
      <c r="AN48" s="206">
        <f t="shared" si="13"/>
        <v>35916000</v>
      </c>
      <c r="AO48" s="3"/>
      <c r="AP48" s="2"/>
      <c r="AQ48" s="204">
        <v>19.600000000000001</v>
      </c>
      <c r="AR48" s="2"/>
      <c r="AS48" s="203">
        <f t="shared" si="14"/>
        <v>0.18367346938775508</v>
      </c>
      <c r="AT48" s="2"/>
      <c r="AU48" s="203">
        <f t="shared" si="17"/>
        <v>5.10204081632653E-2</v>
      </c>
      <c r="AV48" s="4"/>
      <c r="AW48" s="203">
        <f t="shared" si="18"/>
        <v>1.0204081632653059</v>
      </c>
      <c r="AX48" s="3"/>
      <c r="AY48" s="2"/>
      <c r="AZ48" s="2"/>
    </row>
    <row r="49" spans="1:52" ht="19" customHeight="1">
      <c r="A49" s="1" t="s">
        <v>562</v>
      </c>
      <c r="B49" s="2" t="str">
        <f t="shared" si="2"/>
        <v>Lenzen</v>
      </c>
      <c r="C49" s="2">
        <v>1991</v>
      </c>
      <c r="D49" s="2"/>
      <c r="E49" s="11">
        <f t="shared" si="3"/>
        <v>1991</v>
      </c>
      <c r="F49" s="12">
        <f>LOOKUP(E49,Total_wind_installed_capacity!$A$3:$A$28,Total_wind_installed_capacity!$H$3:$H$28)</f>
        <v>2.5305050000000002</v>
      </c>
      <c r="G49" s="3" t="s">
        <v>27</v>
      </c>
      <c r="H49" s="2" t="s">
        <v>36</v>
      </c>
      <c r="I49" s="3" t="s">
        <v>212</v>
      </c>
      <c r="J49" s="2">
        <v>100</v>
      </c>
      <c r="K49" s="2">
        <v>1</v>
      </c>
      <c r="L49" s="2">
        <f t="shared" si="4"/>
        <v>100</v>
      </c>
      <c r="M49" s="3" t="s">
        <v>358</v>
      </c>
      <c r="N49" s="13" t="s">
        <v>339</v>
      </c>
      <c r="O49" s="2">
        <v>34</v>
      </c>
      <c r="P49" s="2">
        <v>24.2</v>
      </c>
      <c r="Q49" s="2" t="s">
        <v>340</v>
      </c>
      <c r="R49" s="222">
        <f t="shared" si="5"/>
        <v>789344.1916167665</v>
      </c>
      <c r="S49" s="2"/>
      <c r="T49" s="206">
        <f t="shared" si="6"/>
        <v>219262.27544910181</v>
      </c>
      <c r="U49" s="2"/>
      <c r="V49" s="204">
        <f t="shared" si="7"/>
        <v>7.8934419161676654</v>
      </c>
      <c r="W49" s="2"/>
      <c r="X49" s="204">
        <f t="shared" si="8"/>
        <v>2.1926227544910182</v>
      </c>
      <c r="Y49" s="2"/>
      <c r="Z49" s="2"/>
      <c r="AA49" s="2"/>
      <c r="AB49" s="2"/>
      <c r="AC49" s="2"/>
      <c r="AD49" s="2"/>
      <c r="AE49" s="218">
        <f t="shared" si="9"/>
        <v>0</v>
      </c>
      <c r="AF49" s="2"/>
      <c r="AG49" s="207">
        <f t="shared" si="10"/>
        <v>0</v>
      </c>
      <c r="AH49" s="2"/>
      <c r="AI49" s="14">
        <v>0.20899999999999999</v>
      </c>
      <c r="AJ49" s="205">
        <f t="shared" si="11"/>
        <v>183084</v>
      </c>
      <c r="AK49" s="2"/>
      <c r="AL49" s="2">
        <v>20</v>
      </c>
      <c r="AM49" s="206">
        <f t="shared" si="12"/>
        <v>3661680</v>
      </c>
      <c r="AN49" s="206">
        <f t="shared" si="13"/>
        <v>36616800</v>
      </c>
      <c r="AO49" s="3"/>
      <c r="AP49" s="2"/>
      <c r="AQ49" s="204">
        <v>16.7</v>
      </c>
      <c r="AR49" s="2"/>
      <c r="AS49" s="203">
        <f t="shared" si="14"/>
        <v>0.21556886227544911</v>
      </c>
      <c r="AT49" s="2"/>
      <c r="AU49" s="203">
        <f t="shared" si="17"/>
        <v>5.9880239520958084E-2</v>
      </c>
      <c r="AV49" s="4"/>
      <c r="AW49" s="203">
        <f t="shared" si="18"/>
        <v>1.1976047904191618</v>
      </c>
      <c r="AX49" s="3"/>
      <c r="AY49" s="2"/>
      <c r="AZ49" s="2"/>
    </row>
    <row r="50" spans="1:52" ht="19" customHeight="1">
      <c r="A50" s="1" t="s">
        <v>562</v>
      </c>
      <c r="B50" s="2" t="str">
        <f t="shared" si="2"/>
        <v>Lenzen</v>
      </c>
      <c r="C50" s="2">
        <v>1996</v>
      </c>
      <c r="D50" s="2"/>
      <c r="E50" s="11">
        <f t="shared" si="3"/>
        <v>1996</v>
      </c>
      <c r="F50" s="12">
        <f>LOOKUP(E50,Total_wind_installed_capacity!$A$3:$A$28,Total_wind_installed_capacity!$H$3:$H$28)</f>
        <v>5.6738550000000005</v>
      </c>
      <c r="G50" s="3" t="s">
        <v>27</v>
      </c>
      <c r="H50" s="2" t="s">
        <v>341</v>
      </c>
      <c r="I50" s="3" t="s">
        <v>212</v>
      </c>
      <c r="J50" s="2">
        <v>100</v>
      </c>
      <c r="K50" s="2">
        <v>1</v>
      </c>
      <c r="L50" s="2">
        <f t="shared" si="4"/>
        <v>100</v>
      </c>
      <c r="M50" s="3" t="s">
        <v>350</v>
      </c>
      <c r="N50" s="13" t="s">
        <v>339</v>
      </c>
      <c r="O50" s="2">
        <v>20</v>
      </c>
      <c r="P50" s="2">
        <v>30</v>
      </c>
      <c r="Q50" s="2" t="s">
        <v>340</v>
      </c>
      <c r="R50" s="222">
        <f t="shared" si="5"/>
        <v>2386097.3493975899</v>
      </c>
      <c r="S50" s="2"/>
      <c r="T50" s="206">
        <f t="shared" si="6"/>
        <v>662804.8192771083</v>
      </c>
      <c r="U50" s="2"/>
      <c r="V50" s="204">
        <f t="shared" si="7"/>
        <v>23.860973493975902</v>
      </c>
      <c r="W50" s="2"/>
      <c r="X50" s="204">
        <f t="shared" si="8"/>
        <v>6.6280481927710824</v>
      </c>
      <c r="Y50" s="2"/>
      <c r="Z50" s="2"/>
      <c r="AA50" s="2"/>
      <c r="AB50" s="2"/>
      <c r="AC50" s="2"/>
      <c r="AD50" s="2"/>
      <c r="AE50" s="218">
        <f t="shared" si="9"/>
        <v>93521.76</v>
      </c>
      <c r="AF50" s="2"/>
      <c r="AG50" s="207">
        <f t="shared" si="10"/>
        <v>0.62347839999999999</v>
      </c>
      <c r="AH50" s="2"/>
      <c r="AI50" s="14">
        <v>0.314</v>
      </c>
      <c r="AJ50" s="205">
        <f t="shared" si="11"/>
        <v>275064</v>
      </c>
      <c r="AK50" s="2"/>
      <c r="AL50" s="2">
        <v>20</v>
      </c>
      <c r="AM50" s="206">
        <f t="shared" si="12"/>
        <v>5501280</v>
      </c>
      <c r="AN50" s="206">
        <f t="shared" si="13"/>
        <v>55012800</v>
      </c>
      <c r="AO50" s="3"/>
      <c r="AP50" s="2"/>
      <c r="AQ50" s="204">
        <v>8.3000000000000007</v>
      </c>
      <c r="AR50" s="2"/>
      <c r="AS50" s="203">
        <f t="shared" si="14"/>
        <v>0.4337349397590361</v>
      </c>
      <c r="AT50" s="2"/>
      <c r="AU50" s="203">
        <f t="shared" si="17"/>
        <v>0.12048192771084336</v>
      </c>
      <c r="AV50" s="4"/>
      <c r="AW50" s="203">
        <f t="shared" si="18"/>
        <v>2.4096385542168672</v>
      </c>
      <c r="AX50" s="3">
        <v>17</v>
      </c>
      <c r="AY50" s="2"/>
      <c r="AZ50" s="2"/>
    </row>
    <row r="51" spans="1:52" ht="19" customHeight="1">
      <c r="A51" s="1" t="s">
        <v>562</v>
      </c>
      <c r="B51" s="2" t="str">
        <f t="shared" si="2"/>
        <v>Lenzen</v>
      </c>
      <c r="C51" s="2">
        <v>1990</v>
      </c>
      <c r="D51" s="2"/>
      <c r="E51" s="11">
        <f t="shared" si="3"/>
        <v>1990</v>
      </c>
      <c r="F51" s="12">
        <f>LOOKUP(E51,Total_wind_installed_capacity!$A$3:$A$28,Total_wind_installed_capacity!$H$3:$H$28)</f>
        <v>2.236005</v>
      </c>
      <c r="G51" s="3" t="s">
        <v>27</v>
      </c>
      <c r="H51" s="2" t="s">
        <v>36</v>
      </c>
      <c r="I51" s="3" t="s">
        <v>205</v>
      </c>
      <c r="J51" s="2">
        <v>150</v>
      </c>
      <c r="K51" s="2">
        <v>1</v>
      </c>
      <c r="L51" s="2">
        <f t="shared" si="4"/>
        <v>150</v>
      </c>
      <c r="M51" s="3" t="s">
        <v>180</v>
      </c>
      <c r="N51" s="13" t="s">
        <v>339</v>
      </c>
      <c r="O51" s="2"/>
      <c r="P51" s="2"/>
      <c r="Q51" s="2" t="s">
        <v>340</v>
      </c>
      <c r="R51" s="222">
        <f t="shared" si="5"/>
        <v>747820.5882352941</v>
      </c>
      <c r="S51" s="2"/>
      <c r="T51" s="206">
        <f t="shared" si="6"/>
        <v>207727.94117647057</v>
      </c>
      <c r="U51" s="2"/>
      <c r="V51" s="204">
        <f t="shared" si="7"/>
        <v>4.9854705882352937</v>
      </c>
      <c r="W51" s="2"/>
      <c r="X51" s="204">
        <f t="shared" si="8"/>
        <v>1.3848529411764705</v>
      </c>
      <c r="Y51" s="2"/>
      <c r="Z51" s="2"/>
      <c r="AA51" s="2"/>
      <c r="AB51" s="2"/>
      <c r="AC51" s="2"/>
      <c r="AD51" s="2"/>
      <c r="AE51" s="218">
        <f t="shared" si="9"/>
        <v>87111.958499999993</v>
      </c>
      <c r="AF51" s="2"/>
      <c r="AG51" s="207">
        <f t="shared" si="10"/>
        <v>0.58074638999999995</v>
      </c>
      <c r="AH51" s="2"/>
      <c r="AI51" s="14">
        <v>0.30099999999999999</v>
      </c>
      <c r="AJ51" s="205">
        <f t="shared" si="11"/>
        <v>395514</v>
      </c>
      <c r="AK51" s="2"/>
      <c r="AL51" s="2">
        <v>25</v>
      </c>
      <c r="AM51" s="206">
        <f t="shared" si="12"/>
        <v>9887850</v>
      </c>
      <c r="AN51" s="206">
        <f t="shared" si="13"/>
        <v>65919000</v>
      </c>
      <c r="AO51" s="3"/>
      <c r="AP51" s="2"/>
      <c r="AQ51" s="204">
        <v>47.6</v>
      </c>
      <c r="AR51" s="2"/>
      <c r="AS51" s="203">
        <f t="shared" si="14"/>
        <v>7.5630252100840331E-2</v>
      </c>
      <c r="AT51" s="2"/>
      <c r="AU51" s="203">
        <f t="shared" si="17"/>
        <v>2.1008403361344536E-2</v>
      </c>
      <c r="AV51" s="4"/>
      <c r="AW51" s="203">
        <f t="shared" si="18"/>
        <v>0.52521008403361336</v>
      </c>
      <c r="AX51" s="3">
        <v>8.81</v>
      </c>
      <c r="AY51" s="2"/>
      <c r="AZ51" s="2"/>
    </row>
    <row r="52" spans="1:52" ht="19" customHeight="1">
      <c r="A52" s="1" t="s">
        <v>562</v>
      </c>
      <c r="B52" s="2" t="str">
        <f t="shared" si="2"/>
        <v>Lenzen</v>
      </c>
      <c r="C52" s="2">
        <v>1991</v>
      </c>
      <c r="D52" s="2"/>
      <c r="E52" s="11">
        <f t="shared" si="3"/>
        <v>1991</v>
      </c>
      <c r="F52" s="12">
        <f>LOOKUP(E52,Total_wind_installed_capacity!$A$3:$A$28,Total_wind_installed_capacity!$H$3:$H$28)</f>
        <v>2.5305050000000002</v>
      </c>
      <c r="G52" s="3" t="s">
        <v>27</v>
      </c>
      <c r="H52" s="2" t="s">
        <v>36</v>
      </c>
      <c r="I52" s="3" t="s">
        <v>212</v>
      </c>
      <c r="J52" s="2">
        <v>150</v>
      </c>
      <c r="K52" s="2">
        <v>1</v>
      </c>
      <c r="L52" s="2">
        <f t="shared" si="4"/>
        <v>150</v>
      </c>
      <c r="M52" s="3" t="s">
        <v>350</v>
      </c>
      <c r="N52" s="13" t="s">
        <v>339</v>
      </c>
      <c r="O52" s="2">
        <v>23</v>
      </c>
      <c r="P52" s="2">
        <v>30</v>
      </c>
      <c r="Q52" s="2" t="s">
        <v>340</v>
      </c>
      <c r="R52" s="222">
        <f t="shared" si="5"/>
        <v>1187237.6470588238</v>
      </c>
      <c r="S52" s="2"/>
      <c r="T52" s="206">
        <f t="shared" si="6"/>
        <v>329788.23529411771</v>
      </c>
      <c r="U52" s="2"/>
      <c r="V52" s="204">
        <f t="shared" si="7"/>
        <v>7.9149176470588252</v>
      </c>
      <c r="W52" s="2"/>
      <c r="X52" s="204">
        <f t="shared" si="8"/>
        <v>2.198588235294118</v>
      </c>
      <c r="Y52" s="2"/>
      <c r="Z52" s="2"/>
      <c r="AA52" s="2"/>
      <c r="AB52" s="2"/>
      <c r="AC52" s="2"/>
      <c r="AD52" s="2"/>
      <c r="AE52" s="218">
        <f t="shared" si="9"/>
        <v>0</v>
      </c>
      <c r="AF52" s="2"/>
      <c r="AG52" s="207">
        <f t="shared" si="10"/>
        <v>0</v>
      </c>
      <c r="AH52" s="2"/>
      <c r="AI52" s="14">
        <v>0.25600000000000001</v>
      </c>
      <c r="AJ52" s="205">
        <f t="shared" si="11"/>
        <v>336384</v>
      </c>
      <c r="AK52" s="2"/>
      <c r="AL52" s="2">
        <v>20</v>
      </c>
      <c r="AM52" s="206">
        <f t="shared" si="12"/>
        <v>6727680</v>
      </c>
      <c r="AN52" s="206">
        <f t="shared" si="13"/>
        <v>44851200</v>
      </c>
      <c r="AO52" s="3"/>
      <c r="AP52" s="2"/>
      <c r="AQ52" s="204">
        <v>20.399999999999999</v>
      </c>
      <c r="AR52" s="2"/>
      <c r="AS52" s="203">
        <f t="shared" si="14"/>
        <v>0.17647058823529416</v>
      </c>
      <c r="AT52" s="2"/>
      <c r="AU52" s="203">
        <f t="shared" si="17"/>
        <v>4.9019607843137261E-2</v>
      </c>
      <c r="AV52" s="4"/>
      <c r="AW52" s="203">
        <f t="shared" si="18"/>
        <v>0.98039215686274517</v>
      </c>
      <c r="AX52" s="3"/>
      <c r="AY52" s="2"/>
      <c r="AZ52" s="2"/>
    </row>
    <row r="53" spans="1:52" ht="19" customHeight="1">
      <c r="A53" s="1" t="s">
        <v>562</v>
      </c>
      <c r="B53" s="2" t="str">
        <f t="shared" si="2"/>
        <v>Lenzen</v>
      </c>
      <c r="C53" s="2">
        <v>1996</v>
      </c>
      <c r="D53" s="2"/>
      <c r="E53" s="11">
        <f t="shared" si="3"/>
        <v>1996</v>
      </c>
      <c r="F53" s="12">
        <f>LOOKUP(E53,Total_wind_installed_capacity!$A$3:$A$28,Total_wind_installed_capacity!$H$3:$H$28)</f>
        <v>5.6738550000000005</v>
      </c>
      <c r="G53" s="3" t="s">
        <v>27</v>
      </c>
      <c r="H53" s="2" t="s">
        <v>364</v>
      </c>
      <c r="I53" s="3" t="s">
        <v>365</v>
      </c>
      <c r="J53" s="2">
        <v>150</v>
      </c>
      <c r="K53" s="2">
        <v>1</v>
      </c>
      <c r="L53" s="2">
        <f t="shared" si="4"/>
        <v>150</v>
      </c>
      <c r="M53" s="3" t="s">
        <v>350</v>
      </c>
      <c r="N53" s="13" t="s">
        <v>339</v>
      </c>
      <c r="O53" s="2">
        <v>23.8</v>
      </c>
      <c r="P53" s="2">
        <v>30</v>
      </c>
      <c r="Q53" s="2" t="s">
        <v>340</v>
      </c>
      <c r="R53" s="222">
        <f t="shared" si="5"/>
        <v>1438041.6</v>
      </c>
      <c r="S53" s="2"/>
      <c r="T53" s="206">
        <f t="shared" si="6"/>
        <v>399456</v>
      </c>
      <c r="U53" s="2"/>
      <c r="V53" s="204">
        <f t="shared" si="7"/>
        <v>9.5869440000000008</v>
      </c>
      <c r="W53" s="2"/>
      <c r="X53" s="204">
        <f t="shared" si="8"/>
        <v>2.6630400000000001</v>
      </c>
      <c r="Y53" s="2"/>
      <c r="Z53" s="2"/>
      <c r="AA53" s="2"/>
      <c r="AB53" s="2"/>
      <c r="AC53" s="2"/>
      <c r="AD53" s="2"/>
      <c r="AE53" s="218">
        <f t="shared" si="9"/>
        <v>55923.839999999997</v>
      </c>
      <c r="AF53" s="2"/>
      <c r="AG53" s="207">
        <f t="shared" si="10"/>
        <v>0.33893236363636364</v>
      </c>
      <c r="AH53" s="2"/>
      <c r="AI53" s="14">
        <v>7.5999999999999998E-2</v>
      </c>
      <c r="AJ53" s="205">
        <f t="shared" si="11"/>
        <v>99864</v>
      </c>
      <c r="AK53" s="2"/>
      <c r="AL53" s="2">
        <v>20</v>
      </c>
      <c r="AM53" s="206">
        <f t="shared" si="12"/>
        <v>1997280</v>
      </c>
      <c r="AN53" s="206">
        <f t="shared" si="13"/>
        <v>13315200</v>
      </c>
      <c r="AO53" s="3"/>
      <c r="AP53" s="2"/>
      <c r="AQ53" s="204">
        <v>5</v>
      </c>
      <c r="AR53" s="2"/>
      <c r="AS53" s="203">
        <f t="shared" si="14"/>
        <v>0.72000000000000008</v>
      </c>
      <c r="AT53" s="2"/>
      <c r="AU53" s="203">
        <f t="shared" si="17"/>
        <v>0.2</v>
      </c>
      <c r="AV53" s="4"/>
      <c r="AW53" s="203">
        <f t="shared" si="18"/>
        <v>4</v>
      </c>
      <c r="AX53" s="3">
        <v>28</v>
      </c>
      <c r="AY53" s="2"/>
      <c r="AZ53" s="2"/>
    </row>
    <row r="54" spans="1:52" ht="19" customHeight="1">
      <c r="A54" s="1" t="s">
        <v>562</v>
      </c>
      <c r="B54" s="2" t="str">
        <f t="shared" si="2"/>
        <v>Lenzen</v>
      </c>
      <c r="C54" s="2">
        <v>1991</v>
      </c>
      <c r="D54" s="2"/>
      <c r="E54" s="11">
        <f t="shared" si="3"/>
        <v>1991</v>
      </c>
      <c r="F54" s="12">
        <f>LOOKUP(E54,Total_wind_installed_capacity!$A$3:$A$28,Total_wind_installed_capacity!$H$3:$H$28)</f>
        <v>2.5305050000000002</v>
      </c>
      <c r="G54" s="3" t="s">
        <v>27</v>
      </c>
      <c r="H54" s="2" t="s">
        <v>36</v>
      </c>
      <c r="I54" s="3" t="s">
        <v>212</v>
      </c>
      <c r="J54" s="2">
        <v>165</v>
      </c>
      <c r="K54" s="2">
        <v>1</v>
      </c>
      <c r="L54" s="2">
        <f t="shared" si="4"/>
        <v>165</v>
      </c>
      <c r="M54" s="3" t="s">
        <v>350</v>
      </c>
      <c r="N54" s="13" t="s">
        <v>339</v>
      </c>
      <c r="O54" s="2">
        <v>25</v>
      </c>
      <c r="P54" s="2">
        <v>32</v>
      </c>
      <c r="Q54" s="2" t="s">
        <v>340</v>
      </c>
      <c r="R54" s="222">
        <f t="shared" si="5"/>
        <v>894220.79999999993</v>
      </c>
      <c r="S54" s="2"/>
      <c r="T54" s="206">
        <f t="shared" si="6"/>
        <v>248394.66666666663</v>
      </c>
      <c r="U54" s="2"/>
      <c r="V54" s="204">
        <f t="shared" si="7"/>
        <v>5.4195199999999994</v>
      </c>
      <c r="W54" s="2"/>
      <c r="X54" s="204">
        <f t="shared" si="8"/>
        <v>1.505422222222222</v>
      </c>
      <c r="Y54" s="2"/>
      <c r="Z54" s="2"/>
      <c r="AA54" s="2"/>
      <c r="AB54" s="2"/>
      <c r="AC54" s="2"/>
      <c r="AD54" s="2"/>
      <c r="AE54" s="218">
        <f t="shared" si="9"/>
        <v>0</v>
      </c>
      <c r="AF54" s="2"/>
      <c r="AG54" s="207">
        <f t="shared" si="10"/>
        <v>0</v>
      </c>
      <c r="AH54" s="2"/>
      <c r="AI54" s="14">
        <v>0.23199999999999998</v>
      </c>
      <c r="AJ54" s="205">
        <f t="shared" si="11"/>
        <v>335332.8</v>
      </c>
      <c r="AK54" s="2"/>
      <c r="AL54" s="2">
        <v>20</v>
      </c>
      <c r="AM54" s="206">
        <f t="shared" si="12"/>
        <v>6706656</v>
      </c>
      <c r="AN54" s="206">
        <f t="shared" si="13"/>
        <v>40646400</v>
      </c>
      <c r="AO54" s="3"/>
      <c r="AP54" s="2"/>
      <c r="AQ54" s="204">
        <v>27</v>
      </c>
      <c r="AR54" s="2"/>
      <c r="AS54" s="203">
        <f t="shared" si="14"/>
        <v>0.13333333333333333</v>
      </c>
      <c r="AT54" s="2"/>
      <c r="AU54" s="203">
        <f t="shared" si="17"/>
        <v>3.7037037037037035E-2</v>
      </c>
      <c r="AV54" s="4"/>
      <c r="AW54" s="203">
        <f t="shared" si="18"/>
        <v>0.7407407407407407</v>
      </c>
      <c r="AX54" s="3"/>
      <c r="AY54" s="2"/>
      <c r="AZ54" s="2"/>
    </row>
    <row r="55" spans="1:52" ht="19" customHeight="1">
      <c r="A55" s="1" t="s">
        <v>562</v>
      </c>
      <c r="B55" s="2" t="str">
        <f t="shared" si="2"/>
        <v>Lenzen</v>
      </c>
      <c r="C55" s="2">
        <v>1991</v>
      </c>
      <c r="D55" s="2"/>
      <c r="E55" s="11">
        <f t="shared" si="3"/>
        <v>1991</v>
      </c>
      <c r="F55" s="12">
        <f>LOOKUP(E55,Total_wind_installed_capacity!$A$3:$A$28,Total_wind_installed_capacity!$H$3:$H$28)</f>
        <v>2.5305050000000002</v>
      </c>
      <c r="G55" s="3" t="s">
        <v>27</v>
      </c>
      <c r="H55" s="2" t="s">
        <v>36</v>
      </c>
      <c r="I55" s="3" t="s">
        <v>212</v>
      </c>
      <c r="J55" s="2">
        <v>200</v>
      </c>
      <c r="K55" s="2">
        <v>1</v>
      </c>
      <c r="L55" s="2">
        <f t="shared" si="4"/>
        <v>200</v>
      </c>
      <c r="M55" s="3" t="s">
        <v>350</v>
      </c>
      <c r="N55" s="13" t="s">
        <v>339</v>
      </c>
      <c r="O55" s="2">
        <v>26</v>
      </c>
      <c r="P55" s="2">
        <v>30</v>
      </c>
      <c r="Q55" s="2" t="s">
        <v>340</v>
      </c>
      <c r="R55" s="222">
        <f t="shared" si="5"/>
        <v>1401600.0000000002</v>
      </c>
      <c r="S55" s="2"/>
      <c r="T55" s="206">
        <f t="shared" si="6"/>
        <v>389333.33333333337</v>
      </c>
      <c r="U55" s="2"/>
      <c r="V55" s="204">
        <f t="shared" si="7"/>
        <v>7.0080000000000009</v>
      </c>
      <c r="W55" s="2"/>
      <c r="X55" s="204">
        <f t="shared" si="8"/>
        <v>1.946666666666667</v>
      </c>
      <c r="Y55" s="2"/>
      <c r="Z55" s="2"/>
      <c r="AA55" s="2"/>
      <c r="AB55" s="2"/>
      <c r="AC55" s="2"/>
      <c r="AD55" s="2"/>
      <c r="AE55" s="218">
        <f t="shared" si="9"/>
        <v>0</v>
      </c>
      <c r="AF55" s="2"/>
      <c r="AG55" s="207">
        <f t="shared" si="10"/>
        <v>0</v>
      </c>
      <c r="AH55" s="2"/>
      <c r="AI55" s="14">
        <v>0.21</v>
      </c>
      <c r="AJ55" s="205">
        <f t="shared" si="11"/>
        <v>367920</v>
      </c>
      <c r="AK55" s="2"/>
      <c r="AL55" s="2">
        <v>20</v>
      </c>
      <c r="AM55" s="206">
        <f t="shared" si="12"/>
        <v>7358400</v>
      </c>
      <c r="AN55" s="206">
        <f t="shared" si="13"/>
        <v>36792000</v>
      </c>
      <c r="AO55" s="3"/>
      <c r="AP55" s="2"/>
      <c r="AQ55" s="204">
        <v>18.899999999999999</v>
      </c>
      <c r="AR55" s="2"/>
      <c r="AS55" s="203">
        <f t="shared" si="14"/>
        <v>0.19047619047619049</v>
      </c>
      <c r="AT55" s="2"/>
      <c r="AU55" s="203">
        <f t="shared" si="17"/>
        <v>5.2910052910052914E-2</v>
      </c>
      <c r="AV55" s="4"/>
      <c r="AW55" s="203">
        <f t="shared" si="18"/>
        <v>1.0582010582010584</v>
      </c>
      <c r="AX55" s="3"/>
      <c r="AY55" s="2"/>
      <c r="AZ55" s="2"/>
    </row>
    <row r="56" spans="1:52" ht="19" customHeight="1">
      <c r="A56" s="1" t="s">
        <v>562</v>
      </c>
      <c r="B56" s="2" t="str">
        <f t="shared" si="2"/>
        <v>Lenzen</v>
      </c>
      <c r="C56" s="2">
        <v>1991</v>
      </c>
      <c r="D56" s="2"/>
      <c r="E56" s="11">
        <f t="shared" si="3"/>
        <v>1991</v>
      </c>
      <c r="F56" s="12">
        <f>LOOKUP(E56,Total_wind_installed_capacity!$A$3:$A$28,Total_wind_installed_capacity!$H$3:$H$28)</f>
        <v>2.5305050000000002</v>
      </c>
      <c r="G56" s="3" t="s">
        <v>27</v>
      </c>
      <c r="H56" s="2" t="s">
        <v>36</v>
      </c>
      <c r="I56" s="3" t="s">
        <v>212</v>
      </c>
      <c r="J56" s="2">
        <v>225</v>
      </c>
      <c r="K56" s="2">
        <v>1</v>
      </c>
      <c r="L56" s="2">
        <f t="shared" si="4"/>
        <v>225</v>
      </c>
      <c r="M56" s="3" t="s">
        <v>180</v>
      </c>
      <c r="N56" s="13" t="s">
        <v>339</v>
      </c>
      <c r="O56" s="2">
        <v>27</v>
      </c>
      <c r="P56" s="2"/>
      <c r="Q56" s="2" t="s">
        <v>340</v>
      </c>
      <c r="R56" s="222">
        <f t="shared" si="5"/>
        <v>1753030.588235294</v>
      </c>
      <c r="S56" s="2"/>
      <c r="T56" s="206">
        <f t="shared" si="6"/>
        <v>486952.94117647054</v>
      </c>
      <c r="U56" s="2"/>
      <c r="V56" s="204">
        <f t="shared" si="7"/>
        <v>7.7912470588235294</v>
      </c>
      <c r="W56" s="2"/>
      <c r="X56" s="204">
        <f t="shared" si="8"/>
        <v>2.1642352941176468</v>
      </c>
      <c r="Y56" s="2"/>
      <c r="Z56" s="2"/>
      <c r="AA56" s="2"/>
      <c r="AB56" s="2"/>
      <c r="AC56" s="2"/>
      <c r="AD56" s="2"/>
      <c r="AE56" s="218">
        <f t="shared" si="9"/>
        <v>0</v>
      </c>
      <c r="AF56" s="2"/>
      <c r="AG56" s="207">
        <f t="shared" si="10"/>
        <v>0</v>
      </c>
      <c r="AH56" s="2"/>
      <c r="AI56" s="14">
        <v>0.39899999999999997</v>
      </c>
      <c r="AJ56" s="205">
        <f t="shared" si="11"/>
        <v>786428.99999999988</v>
      </c>
      <c r="AK56" s="2"/>
      <c r="AL56" s="2">
        <v>20</v>
      </c>
      <c r="AM56" s="206">
        <f t="shared" si="12"/>
        <v>15728579.999999998</v>
      </c>
      <c r="AN56" s="206">
        <f t="shared" si="13"/>
        <v>69904799.999999985</v>
      </c>
      <c r="AO56" s="3"/>
      <c r="AP56" s="2"/>
      <c r="AQ56" s="204">
        <v>32.299999999999997</v>
      </c>
      <c r="AR56" s="2"/>
      <c r="AS56" s="203">
        <f t="shared" si="14"/>
        <v>0.11145510835913314</v>
      </c>
      <c r="AT56" s="2"/>
      <c r="AU56" s="203">
        <f t="shared" si="17"/>
        <v>3.0959752321981428E-2</v>
      </c>
      <c r="AV56" s="4"/>
      <c r="AW56" s="203">
        <f t="shared" si="18"/>
        <v>0.61919504643962853</v>
      </c>
      <c r="AX56" s="3"/>
      <c r="AY56" s="2"/>
      <c r="AZ56" s="2"/>
    </row>
    <row r="57" spans="1:52" ht="19" customHeight="1">
      <c r="A57" s="1" t="s">
        <v>562</v>
      </c>
      <c r="B57" s="2" t="str">
        <f t="shared" si="2"/>
        <v>Lenzen</v>
      </c>
      <c r="C57" s="2">
        <v>1998</v>
      </c>
      <c r="D57" s="2"/>
      <c r="E57" s="11">
        <f t="shared" si="3"/>
        <v>1998</v>
      </c>
      <c r="F57" s="12">
        <f>LOOKUP(E57,Total_wind_installed_capacity!$A$3:$A$28,Total_wind_installed_capacity!$H$3:$H$28)</f>
        <v>8.7342999999999993</v>
      </c>
      <c r="G57" s="3" t="s">
        <v>27</v>
      </c>
      <c r="H57" s="2" t="s">
        <v>362</v>
      </c>
      <c r="I57" s="3" t="s">
        <v>363</v>
      </c>
      <c r="J57" s="2">
        <v>225</v>
      </c>
      <c r="K57" s="2">
        <v>1</v>
      </c>
      <c r="L57" s="2">
        <f t="shared" si="4"/>
        <v>225</v>
      </c>
      <c r="M57" s="3" t="s">
        <v>180</v>
      </c>
      <c r="N57" s="13" t="s">
        <v>339</v>
      </c>
      <c r="O57" s="2"/>
      <c r="P57" s="2"/>
      <c r="Q57" s="2" t="s">
        <v>356</v>
      </c>
      <c r="R57" s="222">
        <f t="shared" si="5"/>
        <v>2497651.2000000002</v>
      </c>
      <c r="S57" s="2"/>
      <c r="T57" s="206">
        <f t="shared" si="6"/>
        <v>693792</v>
      </c>
      <c r="U57" s="2"/>
      <c r="V57" s="204">
        <f t="shared" si="7"/>
        <v>11.100672000000001</v>
      </c>
      <c r="W57" s="2"/>
      <c r="X57" s="204">
        <f t="shared" si="8"/>
        <v>3.08352</v>
      </c>
      <c r="Y57" s="2"/>
      <c r="Z57" s="2"/>
      <c r="AA57" s="2"/>
      <c r="AB57" s="2"/>
      <c r="AC57" s="2"/>
      <c r="AD57" s="2"/>
      <c r="AE57" s="218">
        <f t="shared" si="9"/>
        <v>156103.20000000001</v>
      </c>
      <c r="AF57" s="2"/>
      <c r="AG57" s="207">
        <f t="shared" si="10"/>
        <v>0.58906867924528306</v>
      </c>
      <c r="AH57" s="2"/>
      <c r="AI57" s="14">
        <v>0.22</v>
      </c>
      <c r="AJ57" s="205">
        <f t="shared" si="11"/>
        <v>433620</v>
      </c>
      <c r="AK57" s="2"/>
      <c r="AL57" s="2">
        <v>20</v>
      </c>
      <c r="AM57" s="206">
        <f t="shared" si="12"/>
        <v>8672400</v>
      </c>
      <c r="AN57" s="206">
        <f t="shared" si="13"/>
        <v>38544000</v>
      </c>
      <c r="AO57" s="3"/>
      <c r="AP57" s="2"/>
      <c r="AQ57" s="204">
        <v>12.5</v>
      </c>
      <c r="AR57" s="2"/>
      <c r="AS57" s="203">
        <f t="shared" si="14"/>
        <v>0.28800000000000003</v>
      </c>
      <c r="AT57" s="2"/>
      <c r="AU57" s="203">
        <f t="shared" si="17"/>
        <v>0.08</v>
      </c>
      <c r="AV57" s="4"/>
      <c r="AW57" s="203">
        <f t="shared" si="18"/>
        <v>1.6</v>
      </c>
      <c r="AX57" s="3">
        <v>18</v>
      </c>
      <c r="AY57" s="2"/>
      <c r="AZ57" s="2"/>
    </row>
    <row r="58" spans="1:52" ht="19" customHeight="1">
      <c r="A58" s="1" t="s">
        <v>562</v>
      </c>
      <c r="B58" s="2" t="str">
        <f t="shared" si="2"/>
        <v>Lenzen</v>
      </c>
      <c r="C58" s="2">
        <v>1991</v>
      </c>
      <c r="D58" s="2"/>
      <c r="E58" s="11">
        <f t="shared" si="3"/>
        <v>1991</v>
      </c>
      <c r="F58" s="12">
        <f>LOOKUP(E58,Total_wind_installed_capacity!$A$3:$A$28,Total_wind_installed_capacity!$H$3:$H$28)</f>
        <v>2.5305050000000002</v>
      </c>
      <c r="G58" s="3" t="s">
        <v>27</v>
      </c>
      <c r="H58" s="2" t="s">
        <v>36</v>
      </c>
      <c r="I58" s="3" t="s">
        <v>212</v>
      </c>
      <c r="J58" s="2">
        <v>265</v>
      </c>
      <c r="K58" s="2">
        <v>1</v>
      </c>
      <c r="L58" s="2">
        <f t="shared" si="4"/>
        <v>265</v>
      </c>
      <c r="M58" s="3" t="s">
        <v>358</v>
      </c>
      <c r="N58" s="13" t="s">
        <v>339</v>
      </c>
      <c r="O58" s="2">
        <v>52</v>
      </c>
      <c r="P58" s="2">
        <v>30.5</v>
      </c>
      <c r="Q58" s="2" t="s">
        <v>340</v>
      </c>
      <c r="R58" s="222">
        <f t="shared" si="5"/>
        <v>2035689.2307692312</v>
      </c>
      <c r="S58" s="2"/>
      <c r="T58" s="206">
        <f t="shared" si="6"/>
        <v>565469.23076923087</v>
      </c>
      <c r="U58" s="2"/>
      <c r="V58" s="204">
        <f t="shared" si="7"/>
        <v>7.6818461538461555</v>
      </c>
      <c r="W58" s="2"/>
      <c r="X58" s="204">
        <f t="shared" si="8"/>
        <v>2.1338461538461542</v>
      </c>
      <c r="Y58" s="2"/>
      <c r="Z58" s="2"/>
      <c r="AA58" s="2"/>
      <c r="AB58" s="2"/>
      <c r="AC58" s="2"/>
      <c r="AD58" s="2"/>
      <c r="AE58" s="218">
        <f t="shared" si="9"/>
        <v>0</v>
      </c>
      <c r="AF58" s="2"/>
      <c r="AG58" s="207">
        <f t="shared" si="10"/>
        <v>0</v>
      </c>
      <c r="AH58" s="2"/>
      <c r="AI58" s="14">
        <v>0.19</v>
      </c>
      <c r="AJ58" s="205">
        <f t="shared" si="11"/>
        <v>441066</v>
      </c>
      <c r="AK58" s="2"/>
      <c r="AL58" s="2">
        <v>20</v>
      </c>
      <c r="AM58" s="206">
        <f t="shared" si="12"/>
        <v>8821320</v>
      </c>
      <c r="AN58" s="206">
        <f t="shared" si="13"/>
        <v>33288000</v>
      </c>
      <c r="AO58" s="3"/>
      <c r="AP58" s="2"/>
      <c r="AQ58" s="204">
        <v>15.6</v>
      </c>
      <c r="AR58" s="2"/>
      <c r="AS58" s="203">
        <f t="shared" si="14"/>
        <v>0.23076923076923081</v>
      </c>
      <c r="AT58" s="2"/>
      <c r="AU58" s="203">
        <f t="shared" si="17"/>
        <v>6.4102564102564111E-2</v>
      </c>
      <c r="AV58" s="4"/>
      <c r="AW58" s="203">
        <f t="shared" si="18"/>
        <v>1.2820512820512822</v>
      </c>
      <c r="AX58" s="3"/>
      <c r="AY58" s="2"/>
      <c r="AZ58" s="2"/>
    </row>
    <row r="59" spans="1:52" ht="19" customHeight="1">
      <c r="A59" s="1" t="s">
        <v>562</v>
      </c>
      <c r="B59" s="2" t="str">
        <f t="shared" si="2"/>
        <v>Lenzen</v>
      </c>
      <c r="C59" s="2">
        <v>1990</v>
      </c>
      <c r="D59" s="2"/>
      <c r="E59" s="11">
        <f t="shared" si="3"/>
        <v>1990</v>
      </c>
      <c r="F59" s="12">
        <f>LOOKUP(E59,Total_wind_installed_capacity!$A$3:$A$28,Total_wind_installed_capacity!$H$3:$H$28)</f>
        <v>2.236005</v>
      </c>
      <c r="G59" s="3" t="s">
        <v>27</v>
      </c>
      <c r="H59" s="2" t="s">
        <v>343</v>
      </c>
      <c r="I59" s="3" t="s">
        <v>212</v>
      </c>
      <c r="J59" s="2">
        <v>300</v>
      </c>
      <c r="K59" s="2">
        <v>1</v>
      </c>
      <c r="L59" s="2">
        <f t="shared" si="4"/>
        <v>300</v>
      </c>
      <c r="M59" s="3" t="s">
        <v>350</v>
      </c>
      <c r="N59" s="13" t="s">
        <v>339</v>
      </c>
      <c r="O59" s="2">
        <v>32</v>
      </c>
      <c r="P59" s="2">
        <v>34</v>
      </c>
      <c r="Q59" s="2" t="s">
        <v>340</v>
      </c>
      <c r="R59" s="222">
        <f t="shared" si="5"/>
        <v>1692985.2631578948</v>
      </c>
      <c r="S59" s="2"/>
      <c r="T59" s="206">
        <f t="shared" si="6"/>
        <v>470273.68421052635</v>
      </c>
      <c r="U59" s="2"/>
      <c r="V59" s="204">
        <f t="shared" si="7"/>
        <v>5.6432842105263159</v>
      </c>
      <c r="W59" s="2"/>
      <c r="X59" s="204">
        <f t="shared" si="8"/>
        <v>1.5675789473684212</v>
      </c>
      <c r="Y59" s="2"/>
      <c r="Z59" s="2"/>
      <c r="AA59" s="2"/>
      <c r="AB59" s="2"/>
      <c r="AC59" s="2"/>
      <c r="AD59" s="2"/>
      <c r="AE59" s="218">
        <f t="shared" si="9"/>
        <v>0</v>
      </c>
      <c r="AF59" s="2"/>
      <c r="AG59" s="207">
        <f t="shared" si="10"/>
        <v>0</v>
      </c>
      <c r="AH59" s="2"/>
      <c r="AI59" s="14">
        <v>0.28899999999999998</v>
      </c>
      <c r="AJ59" s="205">
        <f t="shared" si="11"/>
        <v>759492</v>
      </c>
      <c r="AK59" s="2"/>
      <c r="AL59" s="2">
        <v>20</v>
      </c>
      <c r="AM59" s="206">
        <f t="shared" si="12"/>
        <v>15189840</v>
      </c>
      <c r="AN59" s="206">
        <f t="shared" si="13"/>
        <v>50632800</v>
      </c>
      <c r="AO59" s="3"/>
      <c r="AP59" s="2"/>
      <c r="AQ59" s="204">
        <v>32.299999999999997</v>
      </c>
      <c r="AR59" s="2"/>
      <c r="AS59" s="203">
        <f t="shared" si="14"/>
        <v>0.11145510835913314</v>
      </c>
      <c r="AT59" s="2"/>
      <c r="AU59" s="203">
        <f t="shared" si="17"/>
        <v>3.0959752321981428E-2</v>
      </c>
      <c r="AV59" s="4"/>
      <c r="AW59" s="203">
        <f t="shared" si="18"/>
        <v>0.61919504643962853</v>
      </c>
      <c r="AX59" s="3"/>
      <c r="AY59" s="2"/>
      <c r="AZ59" s="2"/>
    </row>
    <row r="60" spans="1:52" ht="19" customHeight="1">
      <c r="A60" s="1" t="s">
        <v>562</v>
      </c>
      <c r="B60" s="2" t="str">
        <f t="shared" si="2"/>
        <v>Lenzen</v>
      </c>
      <c r="C60" s="2">
        <v>1991</v>
      </c>
      <c r="D60" s="2"/>
      <c r="E60" s="11">
        <f t="shared" si="3"/>
        <v>1991</v>
      </c>
      <c r="F60" s="12">
        <f>LOOKUP(E60,Total_wind_installed_capacity!$A$3:$A$28,Total_wind_installed_capacity!$H$3:$H$28)</f>
        <v>2.5305050000000002</v>
      </c>
      <c r="G60" s="3" t="s">
        <v>27</v>
      </c>
      <c r="H60" s="2" t="s">
        <v>36</v>
      </c>
      <c r="I60" s="3" t="s">
        <v>212</v>
      </c>
      <c r="J60" s="2">
        <v>300</v>
      </c>
      <c r="K60" s="2">
        <v>1</v>
      </c>
      <c r="L60" s="2">
        <f t="shared" si="4"/>
        <v>300</v>
      </c>
      <c r="M60" s="3" t="s">
        <v>180</v>
      </c>
      <c r="N60" s="13" t="s">
        <v>339</v>
      </c>
      <c r="O60" s="2">
        <v>32</v>
      </c>
      <c r="P60" s="2"/>
      <c r="Q60" s="2" t="s">
        <v>356</v>
      </c>
      <c r="R60" s="222">
        <f t="shared" si="5"/>
        <v>2796191.9999999995</v>
      </c>
      <c r="S60" s="2"/>
      <c r="T60" s="206">
        <f t="shared" si="6"/>
        <v>776719.99999999988</v>
      </c>
      <c r="U60" s="2"/>
      <c r="V60" s="204">
        <f t="shared" si="7"/>
        <v>9.3206399999999974</v>
      </c>
      <c r="W60" s="2"/>
      <c r="X60" s="204">
        <f t="shared" si="8"/>
        <v>2.5890666666666662</v>
      </c>
      <c r="Y60" s="2"/>
      <c r="Z60" s="2"/>
      <c r="AA60" s="2"/>
      <c r="AB60" s="2"/>
      <c r="AC60" s="2"/>
      <c r="AD60" s="2"/>
      <c r="AE60" s="218">
        <f t="shared" si="9"/>
        <v>0</v>
      </c>
      <c r="AF60" s="2"/>
      <c r="AG60" s="207">
        <f t="shared" si="10"/>
        <v>0</v>
      </c>
      <c r="AH60" s="2"/>
      <c r="AI60" s="14">
        <v>0.39899999999999997</v>
      </c>
      <c r="AJ60" s="205">
        <f t="shared" si="11"/>
        <v>1048571.9999999999</v>
      </c>
      <c r="AK60" s="2"/>
      <c r="AL60" s="2">
        <v>20</v>
      </c>
      <c r="AM60" s="206">
        <f t="shared" si="12"/>
        <v>20971439.999999996</v>
      </c>
      <c r="AN60" s="206">
        <f t="shared" si="13"/>
        <v>69904799.999999985</v>
      </c>
      <c r="AO60" s="3"/>
      <c r="AP60" s="2"/>
      <c r="AQ60" s="204">
        <v>27</v>
      </c>
      <c r="AR60" s="2"/>
      <c r="AS60" s="203">
        <f t="shared" si="14"/>
        <v>0.13333333333333333</v>
      </c>
      <c r="AT60" s="2"/>
      <c r="AU60" s="203">
        <f t="shared" si="17"/>
        <v>3.7037037037037035E-2</v>
      </c>
      <c r="AV60" s="4"/>
      <c r="AW60" s="203">
        <f t="shared" si="18"/>
        <v>0.7407407407407407</v>
      </c>
      <c r="AX60" s="3"/>
      <c r="AY60" s="2"/>
      <c r="AZ60" s="2"/>
    </row>
    <row r="61" spans="1:52" ht="19" customHeight="1">
      <c r="A61" s="1" t="s">
        <v>562</v>
      </c>
      <c r="B61" s="2" t="str">
        <f t="shared" si="2"/>
        <v>Lenzen</v>
      </c>
      <c r="C61" s="2">
        <v>1992</v>
      </c>
      <c r="D61" s="2"/>
      <c r="E61" s="11">
        <f t="shared" si="3"/>
        <v>1992</v>
      </c>
      <c r="F61" s="12">
        <f>LOOKUP(E61,Total_wind_installed_capacity!$A$3:$A$28,Total_wind_installed_capacity!$H$3:$H$28)</f>
        <v>2.6786549999999996</v>
      </c>
      <c r="G61" s="3" t="s">
        <v>27</v>
      </c>
      <c r="H61" s="2" t="s">
        <v>364</v>
      </c>
      <c r="I61" s="3" t="s">
        <v>212</v>
      </c>
      <c r="J61" s="2">
        <v>300</v>
      </c>
      <c r="K61" s="2">
        <v>1</v>
      </c>
      <c r="L61" s="2">
        <f t="shared" si="4"/>
        <v>300</v>
      </c>
      <c r="M61" s="3" t="s">
        <v>350</v>
      </c>
      <c r="N61" s="13" t="s">
        <v>339</v>
      </c>
      <c r="O61" s="2">
        <v>32</v>
      </c>
      <c r="P61" s="2">
        <v>34</v>
      </c>
      <c r="Q61" s="2" t="s">
        <v>356</v>
      </c>
      <c r="R61" s="222">
        <f t="shared" si="5"/>
        <v>2142743.3513513515</v>
      </c>
      <c r="S61" s="2"/>
      <c r="T61" s="206">
        <f t="shared" si="6"/>
        <v>595206.48648648651</v>
      </c>
      <c r="U61" s="2"/>
      <c r="V61" s="204">
        <f t="shared" si="7"/>
        <v>7.1424778378378386</v>
      </c>
      <c r="W61" s="2"/>
      <c r="X61" s="204">
        <f t="shared" si="8"/>
        <v>1.9840216216216218</v>
      </c>
      <c r="Y61" s="2"/>
      <c r="Z61" s="2"/>
      <c r="AA61" s="2"/>
      <c r="AB61" s="2"/>
      <c r="AC61" s="2"/>
      <c r="AD61" s="2"/>
      <c r="AE61" s="218">
        <f t="shared" si="9"/>
        <v>0</v>
      </c>
      <c r="AF61" s="2"/>
      <c r="AG61" s="207">
        <f t="shared" si="10"/>
        <v>0</v>
      </c>
      <c r="AH61" s="2"/>
      <c r="AI61" s="14">
        <v>0.41899999999999998</v>
      </c>
      <c r="AJ61" s="205">
        <f t="shared" si="11"/>
        <v>1101132</v>
      </c>
      <c r="AK61" s="2"/>
      <c r="AL61" s="2">
        <v>20</v>
      </c>
      <c r="AM61" s="206">
        <f t="shared" si="12"/>
        <v>22022640</v>
      </c>
      <c r="AN61" s="206">
        <f t="shared" si="13"/>
        <v>73408800</v>
      </c>
      <c r="AO61" s="3"/>
      <c r="AP61" s="2"/>
      <c r="AQ61" s="204">
        <v>37</v>
      </c>
      <c r="AR61" s="2"/>
      <c r="AS61" s="203">
        <f t="shared" si="14"/>
        <v>9.7297297297297303E-2</v>
      </c>
      <c r="AT61" s="2"/>
      <c r="AU61" s="203">
        <f t="shared" si="17"/>
        <v>2.7027027027027029E-2</v>
      </c>
      <c r="AV61" s="4"/>
      <c r="AW61" s="203">
        <f t="shared" si="18"/>
        <v>0.54054054054054057</v>
      </c>
      <c r="AX61" s="3"/>
      <c r="AY61" s="2"/>
      <c r="AZ61" s="2"/>
    </row>
    <row r="62" spans="1:52" ht="19" customHeight="1">
      <c r="A62" s="1" t="s">
        <v>562</v>
      </c>
      <c r="B62" s="2" t="str">
        <f t="shared" si="2"/>
        <v>Lenzen</v>
      </c>
      <c r="C62" s="2">
        <v>1993</v>
      </c>
      <c r="D62" s="2"/>
      <c r="E62" s="11">
        <f t="shared" si="3"/>
        <v>1993</v>
      </c>
      <c r="F62" s="12">
        <f>LOOKUP(E62,Total_wind_installed_capacity!$A$3:$A$28,Total_wind_installed_capacity!$H$3:$H$28)</f>
        <v>2.9022550000000003</v>
      </c>
      <c r="G62" s="3" t="s">
        <v>27</v>
      </c>
      <c r="H62" s="2" t="s">
        <v>361</v>
      </c>
      <c r="I62" s="3" t="s">
        <v>212</v>
      </c>
      <c r="J62" s="2">
        <v>300</v>
      </c>
      <c r="K62" s="2">
        <v>1</v>
      </c>
      <c r="L62" s="2">
        <f t="shared" si="4"/>
        <v>300</v>
      </c>
      <c r="M62" s="3" t="s">
        <v>180</v>
      </c>
      <c r="N62" s="13" t="s">
        <v>339</v>
      </c>
      <c r="O62" s="2"/>
      <c r="P62" s="2"/>
      <c r="Q62" s="2" t="s">
        <v>340</v>
      </c>
      <c r="R62" s="222">
        <f t="shared" si="5"/>
        <v>1988075.9447004609</v>
      </c>
      <c r="S62" s="2"/>
      <c r="T62" s="206">
        <f t="shared" si="6"/>
        <v>552243.31797235028</v>
      </c>
      <c r="U62" s="2"/>
      <c r="V62" s="204">
        <f t="shared" si="7"/>
        <v>6.6269198156682032</v>
      </c>
      <c r="W62" s="2"/>
      <c r="X62" s="204">
        <f t="shared" si="8"/>
        <v>1.8408110599078342</v>
      </c>
      <c r="Y62" s="2"/>
      <c r="Z62" s="2"/>
      <c r="AA62" s="2"/>
      <c r="AB62" s="2"/>
      <c r="AC62" s="2"/>
      <c r="AD62" s="2"/>
      <c r="AE62" s="218">
        <f t="shared" si="9"/>
        <v>131820.48000000001</v>
      </c>
      <c r="AF62" s="2"/>
      <c r="AG62" s="207">
        <f t="shared" si="10"/>
        <v>0.4394016</v>
      </c>
      <c r="AH62" s="2"/>
      <c r="AI62" s="14">
        <v>0.22800000000000001</v>
      </c>
      <c r="AJ62" s="205">
        <f t="shared" si="11"/>
        <v>599184</v>
      </c>
      <c r="AK62" s="2"/>
      <c r="AL62" s="2">
        <v>20</v>
      </c>
      <c r="AM62" s="206">
        <f t="shared" si="12"/>
        <v>11983680</v>
      </c>
      <c r="AN62" s="206">
        <f t="shared" si="13"/>
        <v>39945600</v>
      </c>
      <c r="AO62" s="3"/>
      <c r="AP62" s="2"/>
      <c r="AQ62" s="204">
        <v>21.7</v>
      </c>
      <c r="AR62" s="2"/>
      <c r="AS62" s="203">
        <f t="shared" si="14"/>
        <v>0.16589861751152074</v>
      </c>
      <c r="AT62" s="2"/>
      <c r="AU62" s="203">
        <f t="shared" si="17"/>
        <v>4.6082949308755762E-2</v>
      </c>
      <c r="AV62" s="4"/>
      <c r="AW62" s="203">
        <f t="shared" si="18"/>
        <v>0.92165898617511521</v>
      </c>
      <c r="AX62" s="3">
        <v>11</v>
      </c>
      <c r="AY62" s="2"/>
      <c r="AZ62" s="2"/>
    </row>
    <row r="63" spans="1:52" ht="19" customHeight="1">
      <c r="A63" s="1" t="s">
        <v>562</v>
      </c>
      <c r="B63" s="2" t="str">
        <f t="shared" si="2"/>
        <v>Lenzen</v>
      </c>
      <c r="C63" s="2">
        <v>1994</v>
      </c>
      <c r="D63" s="2"/>
      <c r="E63" s="11">
        <f t="shared" si="3"/>
        <v>1994</v>
      </c>
      <c r="F63" s="12">
        <f>LOOKUP(E63,Total_wind_installed_capacity!$A$3:$A$28,Total_wind_installed_capacity!$H$3:$H$28)</f>
        <v>3.343855</v>
      </c>
      <c r="G63" s="3" t="s">
        <v>27</v>
      </c>
      <c r="H63" s="2" t="s">
        <v>367</v>
      </c>
      <c r="I63" s="3" t="s">
        <v>212</v>
      </c>
      <c r="J63" s="2">
        <v>300</v>
      </c>
      <c r="K63" s="2">
        <v>1</v>
      </c>
      <c r="L63" s="2">
        <f t="shared" si="4"/>
        <v>300</v>
      </c>
      <c r="M63" s="3" t="s">
        <v>180</v>
      </c>
      <c r="N63" s="13" t="s">
        <v>339</v>
      </c>
      <c r="O63" s="2"/>
      <c r="P63" s="2"/>
      <c r="Q63" s="2" t="s">
        <v>340</v>
      </c>
      <c r="R63" s="222">
        <f t="shared" si="5"/>
        <v>948159.29670329683</v>
      </c>
      <c r="S63" s="2"/>
      <c r="T63" s="206">
        <f t="shared" si="6"/>
        <v>263377.58241758245</v>
      </c>
      <c r="U63" s="2"/>
      <c r="V63" s="204">
        <f t="shared" si="7"/>
        <v>3.1605309890109892</v>
      </c>
      <c r="W63" s="2"/>
      <c r="X63" s="204">
        <f t="shared" si="8"/>
        <v>0.87792527472527482</v>
      </c>
      <c r="Y63" s="2"/>
      <c r="Z63" s="2"/>
      <c r="AA63" s="2"/>
      <c r="AB63" s="2"/>
      <c r="AC63" s="2"/>
      <c r="AD63" s="2"/>
      <c r="AE63" s="218">
        <f t="shared" si="9"/>
        <v>0</v>
      </c>
      <c r="AF63" s="2"/>
      <c r="AG63" s="207">
        <f t="shared" si="10"/>
        <v>0</v>
      </c>
      <c r="AH63" s="2"/>
      <c r="AI63" s="14">
        <v>0.22800000000000001</v>
      </c>
      <c r="AJ63" s="205">
        <f t="shared" si="11"/>
        <v>599184</v>
      </c>
      <c r="AK63" s="2"/>
      <c r="AL63" s="2">
        <v>20</v>
      </c>
      <c r="AM63" s="206">
        <f t="shared" si="12"/>
        <v>11983680</v>
      </c>
      <c r="AN63" s="206">
        <f t="shared" si="13"/>
        <v>39945600</v>
      </c>
      <c r="AO63" s="3"/>
      <c r="AP63" s="2"/>
      <c r="AQ63" s="204">
        <v>45.5</v>
      </c>
      <c r="AR63" s="2"/>
      <c r="AS63" s="203">
        <f t="shared" si="14"/>
        <v>7.9120879120879131E-2</v>
      </c>
      <c r="AT63" s="2"/>
      <c r="AU63" s="203">
        <f t="shared" si="17"/>
        <v>2.197802197802198E-2</v>
      </c>
      <c r="AV63" s="4"/>
      <c r="AW63" s="203">
        <f t="shared" si="18"/>
        <v>0.43956043956043961</v>
      </c>
      <c r="AX63" s="3"/>
      <c r="AY63" s="2"/>
      <c r="AZ63" s="2"/>
    </row>
    <row r="64" spans="1:52" ht="19" customHeight="1">
      <c r="A64" s="1" t="s">
        <v>562</v>
      </c>
      <c r="B64" s="2" t="str">
        <f t="shared" si="2"/>
        <v>Lenzen</v>
      </c>
      <c r="C64" s="2">
        <v>1995</v>
      </c>
      <c r="D64" s="2"/>
      <c r="E64" s="11">
        <f t="shared" si="3"/>
        <v>1995</v>
      </c>
      <c r="F64" s="12">
        <f>LOOKUP(E64,Total_wind_installed_capacity!$A$3:$A$28,Total_wind_installed_capacity!$H$3:$H$28)</f>
        <v>4.2103549999999998</v>
      </c>
      <c r="G64" s="3" t="s">
        <v>27</v>
      </c>
      <c r="H64" s="2" t="s">
        <v>36</v>
      </c>
      <c r="I64" s="3" t="s">
        <v>30</v>
      </c>
      <c r="J64" s="2">
        <v>350</v>
      </c>
      <c r="K64" s="2">
        <v>1</v>
      </c>
      <c r="L64" s="2">
        <f t="shared" si="4"/>
        <v>350</v>
      </c>
      <c r="M64" s="3" t="s">
        <v>350</v>
      </c>
      <c r="N64" s="13" t="s">
        <v>339</v>
      </c>
      <c r="O64" s="2">
        <v>30</v>
      </c>
      <c r="P64" s="2">
        <v>30</v>
      </c>
      <c r="Q64" s="2" t="s">
        <v>340</v>
      </c>
      <c r="R64" s="222">
        <f t="shared" si="5"/>
        <v>2782588.2352941176</v>
      </c>
      <c r="S64" s="2"/>
      <c r="T64" s="206">
        <f t="shared" si="6"/>
        <v>772941.17647058819</v>
      </c>
      <c r="U64" s="2"/>
      <c r="V64" s="204">
        <f t="shared" si="7"/>
        <v>7.9502521008403368</v>
      </c>
      <c r="W64" s="2"/>
      <c r="X64" s="204">
        <f t="shared" si="8"/>
        <v>2.2084033613445375</v>
      </c>
      <c r="Y64" s="2"/>
      <c r="Z64" s="2"/>
      <c r="AA64" s="2"/>
      <c r="AB64" s="2"/>
      <c r="AC64" s="2"/>
      <c r="AD64" s="2"/>
      <c r="AE64" s="218">
        <f t="shared" si="9"/>
        <v>167403.6</v>
      </c>
      <c r="AF64" s="2"/>
      <c r="AG64" s="207">
        <f t="shared" si="10"/>
        <v>0.41850900000000002</v>
      </c>
      <c r="AH64" s="2"/>
      <c r="AI64" s="14">
        <v>0.3</v>
      </c>
      <c r="AJ64" s="205">
        <f t="shared" si="11"/>
        <v>919800</v>
      </c>
      <c r="AK64" s="2"/>
      <c r="AL64" s="2">
        <v>20</v>
      </c>
      <c r="AM64" s="206">
        <f t="shared" si="12"/>
        <v>18396000</v>
      </c>
      <c r="AN64" s="206">
        <f t="shared" si="13"/>
        <v>52560000</v>
      </c>
      <c r="AO64" s="3"/>
      <c r="AP64" s="2"/>
      <c r="AQ64" s="204">
        <v>23.8</v>
      </c>
      <c r="AR64" s="2"/>
      <c r="AS64" s="203">
        <f t="shared" si="14"/>
        <v>0.15126050420168066</v>
      </c>
      <c r="AT64" s="2"/>
      <c r="AU64" s="203">
        <f t="shared" si="17"/>
        <v>4.2016806722689072E-2</v>
      </c>
      <c r="AV64" s="4"/>
      <c r="AW64" s="203">
        <f t="shared" si="18"/>
        <v>0.84033613445378141</v>
      </c>
      <c r="AX64" s="3">
        <v>9.1</v>
      </c>
      <c r="AY64" s="2"/>
      <c r="AZ64" s="2"/>
    </row>
    <row r="65" spans="1:52" ht="19" customHeight="1">
      <c r="A65" s="1" t="s">
        <v>562</v>
      </c>
      <c r="B65" s="2" t="str">
        <f t="shared" si="2"/>
        <v>Lenzen</v>
      </c>
      <c r="C65" s="2">
        <v>1997</v>
      </c>
      <c r="D65" s="2"/>
      <c r="E65" s="11">
        <f t="shared" si="3"/>
        <v>1997</v>
      </c>
      <c r="F65" s="12">
        <f>LOOKUP(E65,Total_wind_installed_capacity!$A$3:$A$28,Total_wind_installed_capacity!$H$3:$H$28)</f>
        <v>6.7156999999999991</v>
      </c>
      <c r="G65" s="3" t="s">
        <v>27</v>
      </c>
      <c r="H65" s="2" t="s">
        <v>368</v>
      </c>
      <c r="I65" s="3" t="s">
        <v>205</v>
      </c>
      <c r="J65" s="2">
        <v>400</v>
      </c>
      <c r="K65" s="2">
        <v>1</v>
      </c>
      <c r="L65" s="2">
        <f t="shared" si="4"/>
        <v>400</v>
      </c>
      <c r="M65" s="3" t="s">
        <v>180</v>
      </c>
      <c r="N65" s="13" t="s">
        <v>339</v>
      </c>
      <c r="O65" s="2"/>
      <c r="P65" s="2"/>
      <c r="Q65" s="2" t="s">
        <v>340</v>
      </c>
      <c r="R65" s="222">
        <f t="shared" si="5"/>
        <v>1150433.28</v>
      </c>
      <c r="S65" s="2"/>
      <c r="T65" s="206">
        <f t="shared" si="6"/>
        <v>319564.79999999999</v>
      </c>
      <c r="U65" s="2"/>
      <c r="V65" s="204">
        <f t="shared" si="7"/>
        <v>2.8760832000000001</v>
      </c>
      <c r="W65" s="2"/>
      <c r="X65" s="204">
        <f t="shared" si="8"/>
        <v>0.79891199999999996</v>
      </c>
      <c r="Y65" s="2"/>
      <c r="Z65" s="2"/>
      <c r="AA65" s="2"/>
      <c r="AB65" s="2"/>
      <c r="AC65" s="2"/>
      <c r="AD65" s="2"/>
      <c r="AE65" s="218">
        <f t="shared" si="9"/>
        <v>254054.016</v>
      </c>
      <c r="AF65" s="2"/>
      <c r="AG65" s="207">
        <f t="shared" si="10"/>
        <v>0.56456448000000004</v>
      </c>
      <c r="AH65" s="2"/>
      <c r="AI65" s="14">
        <v>0.22800000000000001</v>
      </c>
      <c r="AJ65" s="205">
        <f t="shared" si="11"/>
        <v>798912</v>
      </c>
      <c r="AK65" s="2"/>
      <c r="AL65" s="2">
        <v>20</v>
      </c>
      <c r="AM65" s="206">
        <f t="shared" si="12"/>
        <v>15978240</v>
      </c>
      <c r="AN65" s="206">
        <f t="shared" si="13"/>
        <v>39945600</v>
      </c>
      <c r="AO65" s="3"/>
      <c r="AP65" s="2"/>
      <c r="AQ65" s="204">
        <v>50</v>
      </c>
      <c r="AR65" s="2"/>
      <c r="AS65" s="203">
        <f t="shared" si="14"/>
        <v>7.2000000000000008E-2</v>
      </c>
      <c r="AT65" s="2"/>
      <c r="AU65" s="203">
        <f t="shared" si="17"/>
        <v>0.02</v>
      </c>
      <c r="AV65" s="4"/>
      <c r="AW65" s="203">
        <f t="shared" si="18"/>
        <v>0.4</v>
      </c>
      <c r="AX65" s="3">
        <v>15.9</v>
      </c>
      <c r="AY65" s="2"/>
      <c r="AZ65" s="2"/>
    </row>
    <row r="66" spans="1:52" ht="19" customHeight="1">
      <c r="A66" s="1" t="s">
        <v>562</v>
      </c>
      <c r="B66" s="2" t="str">
        <f t="shared" si="2"/>
        <v>Lenzen</v>
      </c>
      <c r="C66" s="2">
        <v>1991</v>
      </c>
      <c r="D66" s="2"/>
      <c r="E66" s="11">
        <f t="shared" si="3"/>
        <v>1991</v>
      </c>
      <c r="F66" s="12">
        <f>LOOKUP(E66,Total_wind_installed_capacity!$A$3:$A$28,Total_wind_installed_capacity!$H$3:$H$28)</f>
        <v>2.5305050000000002</v>
      </c>
      <c r="G66" s="3" t="s">
        <v>27</v>
      </c>
      <c r="H66" s="2" t="s">
        <v>369</v>
      </c>
      <c r="I66" s="3" t="s">
        <v>212</v>
      </c>
      <c r="J66" s="2">
        <v>450</v>
      </c>
      <c r="K66" s="2">
        <v>1</v>
      </c>
      <c r="L66" s="2">
        <f t="shared" si="4"/>
        <v>450</v>
      </c>
      <c r="M66" s="3" t="s">
        <v>350</v>
      </c>
      <c r="N66" s="13" t="s">
        <v>339</v>
      </c>
      <c r="O66" s="2">
        <v>35</v>
      </c>
      <c r="P66" s="2">
        <v>36</v>
      </c>
      <c r="Q66" s="2" t="s">
        <v>340</v>
      </c>
      <c r="R66" s="222">
        <f t="shared" si="5"/>
        <v>2729076.923076923</v>
      </c>
      <c r="S66" s="2"/>
      <c r="T66" s="206">
        <f t="shared" si="6"/>
        <v>758076.92307692301</v>
      </c>
      <c r="U66" s="2"/>
      <c r="V66" s="204">
        <f t="shared" si="7"/>
        <v>6.0646153846153847</v>
      </c>
      <c r="W66" s="2"/>
      <c r="X66" s="204">
        <f t="shared" si="8"/>
        <v>1.6846153846153846</v>
      </c>
      <c r="Y66" s="2"/>
      <c r="Z66" s="2"/>
      <c r="AA66" s="2"/>
      <c r="AB66" s="2"/>
      <c r="AC66" s="2"/>
      <c r="AD66" s="2"/>
      <c r="AE66" s="218">
        <f t="shared" si="9"/>
        <v>0</v>
      </c>
      <c r="AF66" s="2"/>
      <c r="AG66" s="207">
        <f t="shared" si="10"/>
        <v>0</v>
      </c>
      <c r="AH66" s="2"/>
      <c r="AI66" s="14">
        <v>0.2</v>
      </c>
      <c r="AJ66" s="205">
        <f t="shared" si="11"/>
        <v>788400</v>
      </c>
      <c r="AK66" s="2"/>
      <c r="AL66" s="2">
        <v>20</v>
      </c>
      <c r="AM66" s="206">
        <f t="shared" si="12"/>
        <v>15768000</v>
      </c>
      <c r="AN66" s="206">
        <f t="shared" si="13"/>
        <v>35040000</v>
      </c>
      <c r="AO66" s="3"/>
      <c r="AP66" s="2"/>
      <c r="AQ66" s="204">
        <v>20.8</v>
      </c>
      <c r="AR66" s="2"/>
      <c r="AS66" s="203">
        <f t="shared" si="14"/>
        <v>0.17307692307692307</v>
      </c>
      <c r="AT66" s="2"/>
      <c r="AU66" s="203">
        <f t="shared" si="17"/>
        <v>4.8076923076923073E-2</v>
      </c>
      <c r="AV66" s="4"/>
      <c r="AW66" s="203">
        <f t="shared" ref="AW66:AW85" si="19">AL66*AU66</f>
        <v>0.96153846153846145</v>
      </c>
      <c r="AX66" s="3"/>
      <c r="AY66" s="2"/>
      <c r="AZ66" s="2"/>
    </row>
    <row r="67" spans="1:52" ht="19" customHeight="1">
      <c r="A67" s="1" t="s">
        <v>562</v>
      </c>
      <c r="B67" s="2" t="str">
        <f t="shared" ref="B67:B120" si="20">LEFT(RIGHT(A67,LEN(A67)-6),LEN(A67)-11)</f>
        <v>Lenzen</v>
      </c>
      <c r="C67" s="2">
        <v>1994</v>
      </c>
      <c r="D67" s="2"/>
      <c r="E67" s="11">
        <f t="shared" ref="E67:E120" si="21">IF(D67&gt;0,D67,C67)</f>
        <v>1994</v>
      </c>
      <c r="F67" s="12">
        <f>LOOKUP(E67,Total_wind_installed_capacity!$A$3:$A$28,Total_wind_installed_capacity!$H$3:$H$28)</f>
        <v>3.343855</v>
      </c>
      <c r="G67" s="3" t="s">
        <v>27</v>
      </c>
      <c r="H67" s="2" t="s">
        <v>36</v>
      </c>
      <c r="I67" s="3" t="s">
        <v>212</v>
      </c>
      <c r="J67" s="2">
        <v>500</v>
      </c>
      <c r="K67" s="2">
        <v>1</v>
      </c>
      <c r="L67" s="2">
        <f t="shared" ref="L67:L120" si="22">J67*K67</f>
        <v>500</v>
      </c>
      <c r="M67" s="3" t="s">
        <v>370</v>
      </c>
      <c r="N67" s="13" t="s">
        <v>339</v>
      </c>
      <c r="O67" s="2">
        <v>39</v>
      </c>
      <c r="P67" s="2">
        <v>41</v>
      </c>
      <c r="Q67" s="2" t="s">
        <v>340</v>
      </c>
      <c r="R67" s="222">
        <f t="shared" ref="R67:R120" si="23">AS67*AM67</f>
        <v>7830367.3469387759</v>
      </c>
      <c r="S67" s="2"/>
      <c r="T67" s="206">
        <f t="shared" ref="T67:T120" si="24">R67/3.6</f>
        <v>2175102.0408163266</v>
      </c>
      <c r="U67" s="2"/>
      <c r="V67" s="204">
        <f t="shared" ref="V67:V120" si="25">R67/L67/1000</f>
        <v>15.660734693877552</v>
      </c>
      <c r="W67" s="2"/>
      <c r="X67" s="204">
        <f t="shared" ref="X67:X120" si="26">T67/L67/1000</f>
        <v>4.3502040816326533</v>
      </c>
      <c r="Y67" s="2"/>
      <c r="Z67" s="2"/>
      <c r="AA67" s="2"/>
      <c r="AB67" s="2"/>
      <c r="AC67" s="2"/>
      <c r="AD67" s="2"/>
      <c r="AE67" s="218">
        <f t="shared" ref="AE67:AE120" si="27">AX67*AM67/1000</f>
        <v>258989.4</v>
      </c>
      <c r="AF67" s="2"/>
      <c r="AG67" s="207">
        <f t="shared" ref="AG67:AG120" si="28">AE67/L68/1000</f>
        <v>0.51797879999999996</v>
      </c>
      <c r="AH67" s="2"/>
      <c r="AI67" s="14">
        <v>0.36499999999999999</v>
      </c>
      <c r="AJ67" s="205">
        <f t="shared" ref="AJ67:AJ120" si="29">L67*8760*AI67</f>
        <v>1598700</v>
      </c>
      <c r="AK67" s="2"/>
      <c r="AL67" s="2">
        <v>20</v>
      </c>
      <c r="AM67" s="206">
        <f t="shared" ref="AM67:AM120" si="30">AJ67*AL67</f>
        <v>31974000</v>
      </c>
      <c r="AN67" s="206">
        <f t="shared" ref="AN67:AN120" si="31">AM67/L67*1000</f>
        <v>63948000</v>
      </c>
      <c r="AO67" s="3"/>
      <c r="AP67" s="2"/>
      <c r="AQ67" s="204">
        <v>14.7</v>
      </c>
      <c r="AR67" s="2"/>
      <c r="AS67" s="203">
        <f t="shared" ref="AS67:AS120" si="32">AU67*3.6</f>
        <v>0.24489795918367349</v>
      </c>
      <c r="AT67" s="2"/>
      <c r="AU67" s="203">
        <f t="shared" si="17"/>
        <v>6.8027210884353748E-2</v>
      </c>
      <c r="AV67" s="4"/>
      <c r="AW67" s="203">
        <f t="shared" si="19"/>
        <v>1.360544217687075</v>
      </c>
      <c r="AX67" s="3">
        <v>8.1</v>
      </c>
      <c r="AY67" s="2"/>
      <c r="AZ67" s="2"/>
    </row>
    <row r="68" spans="1:52" ht="19" customHeight="1">
      <c r="A68" s="1" t="s">
        <v>562</v>
      </c>
      <c r="B68" s="2" t="str">
        <f t="shared" si="20"/>
        <v>Lenzen</v>
      </c>
      <c r="C68" s="2">
        <v>1998</v>
      </c>
      <c r="D68" s="2"/>
      <c r="E68" s="11">
        <f t="shared" si="21"/>
        <v>1998</v>
      </c>
      <c r="F68" s="12">
        <f>LOOKUP(E68,Total_wind_installed_capacity!$A$3:$A$28,Total_wind_installed_capacity!$H$3:$H$28)</f>
        <v>8.7342999999999993</v>
      </c>
      <c r="G68" s="3" t="s">
        <v>27</v>
      </c>
      <c r="H68" s="2" t="s">
        <v>349</v>
      </c>
      <c r="I68" s="3" t="s">
        <v>212</v>
      </c>
      <c r="J68" s="2">
        <v>500</v>
      </c>
      <c r="K68" s="2">
        <v>1</v>
      </c>
      <c r="L68" s="2">
        <f t="shared" si="22"/>
        <v>500</v>
      </c>
      <c r="M68" s="3" t="s">
        <v>350</v>
      </c>
      <c r="N68" s="13" t="s">
        <v>339</v>
      </c>
      <c r="O68" s="2">
        <v>40.299999999999997</v>
      </c>
      <c r="P68" s="2">
        <v>44</v>
      </c>
      <c r="Q68" s="2" t="s">
        <v>340</v>
      </c>
      <c r="R68" s="222">
        <f t="shared" si="23"/>
        <v>3922124.3697478995</v>
      </c>
      <c r="S68" s="2"/>
      <c r="T68" s="206">
        <f t="shared" si="24"/>
        <v>1089478.9915966387</v>
      </c>
      <c r="U68" s="2"/>
      <c r="V68" s="204">
        <f t="shared" si="25"/>
        <v>7.8442487394957991</v>
      </c>
      <c r="W68" s="2"/>
      <c r="X68" s="204">
        <f t="shared" si="26"/>
        <v>2.1789579831932775</v>
      </c>
      <c r="Y68" s="2"/>
      <c r="Z68" s="2"/>
      <c r="AA68" s="2"/>
      <c r="AB68" s="2"/>
      <c r="AC68" s="2"/>
      <c r="AD68" s="2"/>
      <c r="AE68" s="218">
        <f t="shared" si="27"/>
        <v>0</v>
      </c>
      <c r="AF68" s="2"/>
      <c r="AG68" s="207">
        <f t="shared" si="28"/>
        <v>0</v>
      </c>
      <c r="AH68" s="2"/>
      <c r="AI68" s="14">
        <v>0.29600000000000004</v>
      </c>
      <c r="AJ68" s="205">
        <f t="shared" si="29"/>
        <v>1296480.0000000002</v>
      </c>
      <c r="AK68" s="2"/>
      <c r="AL68" s="2">
        <v>20</v>
      </c>
      <c r="AM68" s="206">
        <f t="shared" si="30"/>
        <v>25929600.000000004</v>
      </c>
      <c r="AN68" s="206">
        <f t="shared" si="31"/>
        <v>51859200.000000007</v>
      </c>
      <c r="AO68" s="3"/>
      <c r="AP68" s="2"/>
      <c r="AQ68" s="204">
        <v>23.8</v>
      </c>
      <c r="AR68" s="2"/>
      <c r="AS68" s="203">
        <f t="shared" si="32"/>
        <v>0.15126050420168066</v>
      </c>
      <c r="AT68" s="2"/>
      <c r="AU68" s="203">
        <f t="shared" si="17"/>
        <v>4.2016806722689072E-2</v>
      </c>
      <c r="AV68" s="4"/>
      <c r="AW68" s="203">
        <f t="shared" si="19"/>
        <v>0.84033613445378141</v>
      </c>
      <c r="AX68" s="3"/>
      <c r="AY68" s="2"/>
      <c r="AZ68" s="2"/>
    </row>
    <row r="69" spans="1:52" ht="19" customHeight="1">
      <c r="A69" s="1" t="s">
        <v>566</v>
      </c>
      <c r="B69" s="2" t="str">
        <f t="shared" si="20"/>
        <v>Khan</v>
      </c>
      <c r="C69" s="2">
        <v>2003</v>
      </c>
      <c r="D69" s="2"/>
      <c r="E69" s="11">
        <f t="shared" si="21"/>
        <v>2003</v>
      </c>
      <c r="F69" s="12">
        <f>LOOKUP(E69,Total_wind_installed_capacity!$A$3:$A$28,Total_wind_installed_capacity!$H$3:$H$28)</f>
        <v>38.113542499999994</v>
      </c>
      <c r="G69" s="3" t="s">
        <v>27</v>
      </c>
      <c r="H69" s="2" t="s">
        <v>371</v>
      </c>
      <c r="I69" s="3" t="s">
        <v>119</v>
      </c>
      <c r="J69" s="2">
        <v>500</v>
      </c>
      <c r="K69" s="2">
        <v>1</v>
      </c>
      <c r="L69" s="2">
        <f t="shared" si="22"/>
        <v>500</v>
      </c>
      <c r="M69" s="3" t="s">
        <v>180</v>
      </c>
      <c r="N69" s="13" t="s">
        <v>339</v>
      </c>
      <c r="O69" s="2"/>
      <c r="P69" s="2"/>
      <c r="Q69" s="2" t="s">
        <v>356</v>
      </c>
      <c r="R69" s="222">
        <f t="shared" si="23"/>
        <v>0</v>
      </c>
      <c r="S69" s="2"/>
      <c r="T69" s="206">
        <f t="shared" si="24"/>
        <v>0</v>
      </c>
      <c r="U69" s="2"/>
      <c r="V69" s="204">
        <f t="shared" si="25"/>
        <v>0</v>
      </c>
      <c r="W69" s="2"/>
      <c r="X69" s="204">
        <f t="shared" si="26"/>
        <v>0</v>
      </c>
      <c r="Y69" s="2"/>
      <c r="Z69" s="2"/>
      <c r="AA69" s="2"/>
      <c r="AB69" s="2"/>
      <c r="AC69" s="2"/>
      <c r="AD69" s="2"/>
      <c r="AE69" s="218">
        <f t="shared" si="27"/>
        <v>0</v>
      </c>
      <c r="AF69" s="2"/>
      <c r="AG69" s="207">
        <f t="shared" si="28"/>
        <v>0</v>
      </c>
      <c r="AH69" s="2"/>
      <c r="AI69" s="14">
        <v>0</v>
      </c>
      <c r="AJ69" s="205">
        <f t="shared" si="29"/>
        <v>0</v>
      </c>
      <c r="AK69" s="2"/>
      <c r="AL69" s="2">
        <v>20</v>
      </c>
      <c r="AM69" s="206">
        <f t="shared" si="30"/>
        <v>0</v>
      </c>
      <c r="AN69" s="206">
        <f t="shared" si="31"/>
        <v>0</v>
      </c>
      <c r="AO69" s="3"/>
      <c r="AP69" s="2"/>
      <c r="AQ69" s="204">
        <v>123.5</v>
      </c>
      <c r="AR69" s="2"/>
      <c r="AS69" s="203">
        <f t="shared" si="32"/>
        <v>2.9149797570850202E-2</v>
      </c>
      <c r="AT69" s="2"/>
      <c r="AU69" s="203">
        <f t="shared" si="17"/>
        <v>8.0971659919028341E-3</v>
      </c>
      <c r="AV69" s="4"/>
      <c r="AW69" s="203">
        <f t="shared" si="19"/>
        <v>0.16194331983805668</v>
      </c>
      <c r="AX69" s="3">
        <v>10</v>
      </c>
      <c r="AY69" s="2"/>
      <c r="AZ69" s="2"/>
    </row>
    <row r="70" spans="1:52" ht="19" customHeight="1">
      <c r="A70" s="1" t="s">
        <v>566</v>
      </c>
      <c r="B70" s="2" t="str">
        <f t="shared" si="20"/>
        <v>Khan</v>
      </c>
      <c r="C70" s="2">
        <v>2003</v>
      </c>
      <c r="D70" s="2"/>
      <c r="E70" s="11">
        <f t="shared" si="21"/>
        <v>2003</v>
      </c>
      <c r="F70" s="12">
        <f>LOOKUP(E70,Total_wind_installed_capacity!$A$3:$A$28,Total_wind_installed_capacity!$H$3:$H$28)</f>
        <v>38.113542499999994</v>
      </c>
      <c r="G70" s="3" t="s">
        <v>27</v>
      </c>
      <c r="H70" s="2" t="s">
        <v>371</v>
      </c>
      <c r="I70" s="3" t="s">
        <v>119</v>
      </c>
      <c r="J70" s="2">
        <v>500</v>
      </c>
      <c r="K70" s="2">
        <v>1</v>
      </c>
      <c r="L70" s="2">
        <f t="shared" si="22"/>
        <v>500</v>
      </c>
      <c r="M70" s="3" t="s">
        <v>180</v>
      </c>
      <c r="N70" s="13" t="s">
        <v>339</v>
      </c>
      <c r="O70" s="2"/>
      <c r="P70" s="2"/>
      <c r="Q70" s="2" t="s">
        <v>356</v>
      </c>
      <c r="R70" s="222">
        <f t="shared" si="23"/>
        <v>0</v>
      </c>
      <c r="S70" s="2"/>
      <c r="T70" s="206">
        <f t="shared" si="24"/>
        <v>0</v>
      </c>
      <c r="U70" s="2"/>
      <c r="V70" s="204">
        <f t="shared" si="25"/>
        <v>0</v>
      </c>
      <c r="W70" s="2"/>
      <c r="X70" s="204">
        <f t="shared" si="26"/>
        <v>0</v>
      </c>
      <c r="Y70" s="2"/>
      <c r="Z70" s="2"/>
      <c r="AA70" s="2"/>
      <c r="AB70" s="2"/>
      <c r="AC70" s="2"/>
      <c r="AD70" s="2"/>
      <c r="AE70" s="218">
        <f t="shared" si="27"/>
        <v>0</v>
      </c>
      <c r="AF70" s="2"/>
      <c r="AG70" s="207">
        <f t="shared" si="28"/>
        <v>0</v>
      </c>
      <c r="AH70" s="2"/>
      <c r="AI70" s="14">
        <v>0</v>
      </c>
      <c r="AJ70" s="205">
        <f t="shared" si="29"/>
        <v>0</v>
      </c>
      <c r="AK70" s="2"/>
      <c r="AL70" s="2">
        <v>20</v>
      </c>
      <c r="AM70" s="206">
        <f t="shared" si="30"/>
        <v>0</v>
      </c>
      <c r="AN70" s="206">
        <f t="shared" si="31"/>
        <v>0</v>
      </c>
      <c r="AO70" s="3"/>
      <c r="AP70" s="2"/>
      <c r="AQ70" s="204">
        <v>125.8</v>
      </c>
      <c r="AR70" s="2"/>
      <c r="AS70" s="203">
        <f t="shared" si="32"/>
        <v>2.8616852146263909E-2</v>
      </c>
      <c r="AT70" s="2"/>
      <c r="AU70" s="203">
        <f t="shared" si="17"/>
        <v>7.9491255961844191E-3</v>
      </c>
      <c r="AV70" s="4"/>
      <c r="AW70" s="203">
        <f t="shared" si="19"/>
        <v>0.1589825119236884</v>
      </c>
      <c r="AX70" s="3">
        <v>7.1</v>
      </c>
      <c r="AY70" s="2"/>
      <c r="AZ70" s="2"/>
    </row>
    <row r="71" spans="1:52" ht="19" customHeight="1">
      <c r="A71" s="1" t="s">
        <v>566</v>
      </c>
      <c r="B71" s="2" t="str">
        <f t="shared" si="20"/>
        <v>Khan</v>
      </c>
      <c r="C71" s="2">
        <v>2003</v>
      </c>
      <c r="D71" s="2"/>
      <c r="E71" s="11">
        <f t="shared" si="21"/>
        <v>2003</v>
      </c>
      <c r="F71" s="12">
        <f>LOOKUP(E71,Total_wind_installed_capacity!$A$3:$A$28,Total_wind_installed_capacity!$H$3:$H$28)</f>
        <v>38.113542499999994</v>
      </c>
      <c r="G71" s="3" t="s">
        <v>27</v>
      </c>
      <c r="H71" s="2" t="s">
        <v>371</v>
      </c>
      <c r="I71" s="3" t="s">
        <v>119</v>
      </c>
      <c r="J71" s="2">
        <v>500</v>
      </c>
      <c r="K71" s="2">
        <v>1</v>
      </c>
      <c r="L71" s="2">
        <f t="shared" si="22"/>
        <v>500</v>
      </c>
      <c r="M71" s="3" t="s">
        <v>180</v>
      </c>
      <c r="N71" s="13" t="s">
        <v>339</v>
      </c>
      <c r="O71" s="2"/>
      <c r="P71" s="2"/>
      <c r="Q71" s="2" t="s">
        <v>356</v>
      </c>
      <c r="R71" s="222">
        <f t="shared" si="23"/>
        <v>0</v>
      </c>
      <c r="S71" s="2"/>
      <c r="T71" s="206">
        <f t="shared" si="24"/>
        <v>0</v>
      </c>
      <c r="U71" s="2"/>
      <c r="V71" s="204">
        <f t="shared" si="25"/>
        <v>0</v>
      </c>
      <c r="W71" s="2"/>
      <c r="X71" s="204">
        <f t="shared" si="26"/>
        <v>0</v>
      </c>
      <c r="Y71" s="2"/>
      <c r="Z71" s="2"/>
      <c r="AA71" s="2"/>
      <c r="AB71" s="2"/>
      <c r="AC71" s="2"/>
      <c r="AD71" s="2"/>
      <c r="AE71" s="218">
        <f t="shared" si="27"/>
        <v>0</v>
      </c>
      <c r="AF71" s="2"/>
      <c r="AG71" s="207">
        <f t="shared" si="28"/>
        <v>0</v>
      </c>
      <c r="AH71" s="2"/>
      <c r="AI71" s="14">
        <v>0</v>
      </c>
      <c r="AJ71" s="205">
        <f t="shared" si="29"/>
        <v>0</v>
      </c>
      <c r="AK71" s="2"/>
      <c r="AL71" s="2">
        <v>20</v>
      </c>
      <c r="AM71" s="206">
        <f t="shared" si="30"/>
        <v>0</v>
      </c>
      <c r="AN71" s="206">
        <f t="shared" si="31"/>
        <v>0</v>
      </c>
      <c r="AO71" s="3"/>
      <c r="AP71" s="2"/>
      <c r="AQ71" s="204">
        <v>109.6</v>
      </c>
      <c r="AR71" s="2"/>
      <c r="AS71" s="203">
        <f t="shared" si="32"/>
        <v>3.2846715328467155E-2</v>
      </c>
      <c r="AT71" s="2"/>
      <c r="AU71" s="203">
        <f t="shared" si="17"/>
        <v>9.1240875912408769E-3</v>
      </c>
      <c r="AV71" s="4"/>
      <c r="AW71" s="203">
        <f t="shared" si="19"/>
        <v>0.18248175182481755</v>
      </c>
      <c r="AX71" s="3">
        <v>3.7</v>
      </c>
      <c r="AY71" s="2"/>
      <c r="AZ71" s="2"/>
    </row>
    <row r="72" spans="1:52" ht="19" customHeight="1">
      <c r="A72" s="1" t="s">
        <v>567</v>
      </c>
      <c r="B72" s="2" t="str">
        <f t="shared" si="20"/>
        <v>Wagner</v>
      </c>
      <c r="C72" s="2">
        <v>2004</v>
      </c>
      <c r="D72" s="2"/>
      <c r="E72" s="11">
        <f t="shared" si="21"/>
        <v>2004</v>
      </c>
      <c r="F72" s="12">
        <f>LOOKUP(E72,Total_wind_installed_capacity!$A$3:$A$28,Total_wind_installed_capacity!$H$3:$H$28)</f>
        <v>46.3964675</v>
      </c>
      <c r="G72" s="3" t="s">
        <v>27</v>
      </c>
      <c r="H72" s="2" t="s">
        <v>372</v>
      </c>
      <c r="I72" s="3" t="s">
        <v>212</v>
      </c>
      <c r="J72" s="2">
        <v>500</v>
      </c>
      <c r="K72" s="2">
        <v>1</v>
      </c>
      <c r="L72" s="2">
        <f t="shared" si="22"/>
        <v>500</v>
      </c>
      <c r="M72" s="3" t="s">
        <v>373</v>
      </c>
      <c r="N72" s="2" t="s">
        <v>348</v>
      </c>
      <c r="O72" s="2">
        <v>40.299999999999997</v>
      </c>
      <c r="P72" s="2">
        <v>44</v>
      </c>
      <c r="Q72" s="2" t="s">
        <v>356</v>
      </c>
      <c r="R72" s="222">
        <f t="shared" si="23"/>
        <v>1306491.4285714286</v>
      </c>
      <c r="S72" s="2"/>
      <c r="T72" s="206">
        <f t="shared" si="24"/>
        <v>362914.28571428574</v>
      </c>
      <c r="U72" s="2"/>
      <c r="V72" s="204">
        <f t="shared" si="25"/>
        <v>2.6129828571428573</v>
      </c>
      <c r="W72" s="2"/>
      <c r="X72" s="204">
        <f t="shared" si="26"/>
        <v>0.72582857142857138</v>
      </c>
      <c r="Y72" s="2"/>
      <c r="Z72" s="2"/>
      <c r="AA72" s="2"/>
      <c r="AB72" s="2"/>
      <c r="AC72" s="2"/>
      <c r="AD72" s="2"/>
      <c r="AE72" s="218">
        <f t="shared" si="27"/>
        <v>0</v>
      </c>
      <c r="AF72" s="2"/>
      <c r="AG72" s="207">
        <f t="shared" si="28"/>
        <v>0</v>
      </c>
      <c r="AH72" s="2"/>
      <c r="AI72" s="14">
        <v>0.28999999999999998</v>
      </c>
      <c r="AJ72" s="205">
        <f t="shared" si="29"/>
        <v>1270200</v>
      </c>
      <c r="AK72" s="2"/>
      <c r="AL72" s="2">
        <v>20</v>
      </c>
      <c r="AM72" s="206">
        <f t="shared" si="30"/>
        <v>25404000</v>
      </c>
      <c r="AN72" s="206">
        <f t="shared" si="31"/>
        <v>50808000</v>
      </c>
      <c r="AO72" s="3"/>
      <c r="AP72" s="2"/>
      <c r="AQ72" s="204">
        <v>70</v>
      </c>
      <c r="AR72" s="2"/>
      <c r="AS72" s="203">
        <f t="shared" si="32"/>
        <v>5.1428571428571428E-2</v>
      </c>
      <c r="AT72" s="2"/>
      <c r="AU72" s="203">
        <f t="shared" si="17"/>
        <v>1.4285714285714285E-2</v>
      </c>
      <c r="AV72" s="4"/>
      <c r="AW72" s="203">
        <f t="shared" si="19"/>
        <v>0.2857142857142857</v>
      </c>
      <c r="AX72" s="3"/>
      <c r="AY72" s="2"/>
      <c r="AZ72" s="2"/>
    </row>
    <row r="73" spans="1:52" ht="19" customHeight="1">
      <c r="A73" s="1" t="s">
        <v>567</v>
      </c>
      <c r="B73" s="2" t="str">
        <f t="shared" si="20"/>
        <v>Wagner</v>
      </c>
      <c r="C73" s="2">
        <v>2004</v>
      </c>
      <c r="D73" s="2"/>
      <c r="E73" s="11">
        <f t="shared" si="21"/>
        <v>2004</v>
      </c>
      <c r="F73" s="12">
        <f>LOOKUP(E73,Total_wind_installed_capacity!$A$3:$A$28,Total_wind_installed_capacity!$H$3:$H$28)</f>
        <v>46.3964675</v>
      </c>
      <c r="G73" s="3" t="s">
        <v>27</v>
      </c>
      <c r="H73" s="2" t="s">
        <v>372</v>
      </c>
      <c r="I73" s="3" t="s">
        <v>212</v>
      </c>
      <c r="J73" s="2">
        <v>500</v>
      </c>
      <c r="K73" s="2">
        <v>1</v>
      </c>
      <c r="L73" s="2">
        <f t="shared" si="22"/>
        <v>500</v>
      </c>
      <c r="M73" s="3" t="s">
        <v>373</v>
      </c>
      <c r="N73" s="2" t="s">
        <v>348</v>
      </c>
      <c r="O73" s="2">
        <v>40.299999999999997</v>
      </c>
      <c r="P73" s="2">
        <v>55</v>
      </c>
      <c r="Q73" s="2" t="s">
        <v>356</v>
      </c>
      <c r="R73" s="222">
        <f t="shared" si="23"/>
        <v>2261071.6981132077</v>
      </c>
      <c r="S73" s="2"/>
      <c r="T73" s="206">
        <f t="shared" si="24"/>
        <v>628075.47169811325</v>
      </c>
      <c r="U73" s="2"/>
      <c r="V73" s="204">
        <f t="shared" si="25"/>
        <v>4.522143396226415</v>
      </c>
      <c r="W73" s="2"/>
      <c r="X73" s="204">
        <f t="shared" si="26"/>
        <v>1.2561509433962266</v>
      </c>
      <c r="Y73" s="2"/>
      <c r="Z73" s="2"/>
      <c r="AA73" s="2"/>
      <c r="AB73" s="2"/>
      <c r="AC73" s="2"/>
      <c r="AD73" s="2"/>
      <c r="AE73" s="218">
        <f t="shared" si="27"/>
        <v>0</v>
      </c>
      <c r="AF73" s="2"/>
      <c r="AG73" s="207">
        <f t="shared" si="28"/>
        <v>0</v>
      </c>
      <c r="AH73" s="2"/>
      <c r="AI73" s="14">
        <v>0.38</v>
      </c>
      <c r="AJ73" s="205">
        <f t="shared" si="29"/>
        <v>1664400</v>
      </c>
      <c r="AK73" s="2"/>
      <c r="AL73" s="2">
        <v>20</v>
      </c>
      <c r="AM73" s="206">
        <f t="shared" si="30"/>
        <v>33288000</v>
      </c>
      <c r="AN73" s="206">
        <f t="shared" si="31"/>
        <v>66576000</v>
      </c>
      <c r="AO73" s="3"/>
      <c r="AP73" s="2"/>
      <c r="AQ73" s="204">
        <v>53</v>
      </c>
      <c r="AR73" s="2"/>
      <c r="AS73" s="203">
        <f t="shared" si="32"/>
        <v>6.7924528301886791E-2</v>
      </c>
      <c r="AT73" s="2"/>
      <c r="AU73" s="203">
        <f t="shared" si="17"/>
        <v>1.8867924528301886E-2</v>
      </c>
      <c r="AV73" s="4"/>
      <c r="AW73" s="203">
        <f t="shared" si="19"/>
        <v>0.37735849056603771</v>
      </c>
      <c r="AX73" s="3"/>
      <c r="AY73" s="2"/>
      <c r="AZ73" s="2"/>
    </row>
    <row r="74" spans="1:52" ht="19" customHeight="1">
      <c r="A74" s="1" t="s">
        <v>567</v>
      </c>
      <c r="B74" s="2" t="str">
        <f t="shared" si="20"/>
        <v>Wagner</v>
      </c>
      <c r="C74" s="2">
        <v>2004</v>
      </c>
      <c r="D74" s="2"/>
      <c r="E74" s="11">
        <f t="shared" si="21"/>
        <v>2004</v>
      </c>
      <c r="F74" s="12">
        <f>LOOKUP(E74,Total_wind_installed_capacity!$A$3:$A$28,Total_wind_installed_capacity!$H$3:$H$28)</f>
        <v>46.3964675</v>
      </c>
      <c r="G74" s="3" t="s">
        <v>27</v>
      </c>
      <c r="H74" s="2" t="s">
        <v>372</v>
      </c>
      <c r="I74" s="3" t="s">
        <v>212</v>
      </c>
      <c r="J74" s="2">
        <v>500</v>
      </c>
      <c r="K74" s="2">
        <v>1</v>
      </c>
      <c r="L74" s="2">
        <f t="shared" si="22"/>
        <v>500</v>
      </c>
      <c r="M74" s="3" t="s">
        <v>373</v>
      </c>
      <c r="N74" s="2" t="s">
        <v>348</v>
      </c>
      <c r="O74" s="2">
        <v>40.299999999999997</v>
      </c>
      <c r="P74" s="2">
        <v>65</v>
      </c>
      <c r="Q74" s="2" t="s">
        <v>356</v>
      </c>
      <c r="R74" s="222">
        <f t="shared" si="23"/>
        <v>4398442.1052631577</v>
      </c>
      <c r="S74" s="2"/>
      <c r="T74" s="206">
        <f t="shared" si="24"/>
        <v>1221789.4736842106</v>
      </c>
      <c r="U74" s="2"/>
      <c r="V74" s="204">
        <f t="shared" si="25"/>
        <v>8.796884210526315</v>
      </c>
      <c r="W74" s="2"/>
      <c r="X74" s="204">
        <f t="shared" si="26"/>
        <v>2.4435789473684211</v>
      </c>
      <c r="Y74" s="2"/>
      <c r="Z74" s="2"/>
      <c r="AA74" s="2"/>
      <c r="AB74" s="2"/>
      <c r="AC74" s="2"/>
      <c r="AD74" s="2"/>
      <c r="AE74" s="218">
        <f t="shared" si="27"/>
        <v>0</v>
      </c>
      <c r="AF74" s="2"/>
      <c r="AG74" s="207">
        <f t="shared" si="28"/>
        <v>0</v>
      </c>
      <c r="AH74" s="2"/>
      <c r="AI74" s="14">
        <v>0.53</v>
      </c>
      <c r="AJ74" s="205">
        <f t="shared" si="29"/>
        <v>2321400</v>
      </c>
      <c r="AK74" s="2"/>
      <c r="AL74" s="2">
        <v>20</v>
      </c>
      <c r="AM74" s="206">
        <f t="shared" si="30"/>
        <v>46428000</v>
      </c>
      <c r="AN74" s="206">
        <f t="shared" si="31"/>
        <v>92856000</v>
      </c>
      <c r="AO74" s="3"/>
      <c r="AP74" s="2"/>
      <c r="AQ74" s="204">
        <v>38</v>
      </c>
      <c r="AR74" s="2"/>
      <c r="AS74" s="203">
        <f t="shared" si="32"/>
        <v>9.4736842105263161E-2</v>
      </c>
      <c r="AT74" s="2"/>
      <c r="AU74" s="203">
        <f t="shared" si="17"/>
        <v>2.6315789473684209E-2</v>
      </c>
      <c r="AV74" s="4"/>
      <c r="AW74" s="203">
        <f t="shared" si="19"/>
        <v>0.52631578947368418</v>
      </c>
      <c r="AX74" s="3"/>
      <c r="AY74" s="2"/>
      <c r="AZ74" s="2"/>
    </row>
    <row r="75" spans="1:52" ht="19" customHeight="1">
      <c r="A75" s="1" t="s">
        <v>562</v>
      </c>
      <c r="B75" s="2" t="str">
        <f t="shared" si="20"/>
        <v>Lenzen</v>
      </c>
      <c r="C75" s="2">
        <v>2000</v>
      </c>
      <c r="D75" s="2"/>
      <c r="E75" s="11">
        <f t="shared" si="21"/>
        <v>2000</v>
      </c>
      <c r="F75" s="12">
        <f>LOOKUP(E75,Total_wind_installed_capacity!$A$3:$A$28,Total_wind_installed_capacity!$H$3:$H$28)</f>
        <v>16.347073333333334</v>
      </c>
      <c r="G75" s="3" t="s">
        <v>27</v>
      </c>
      <c r="H75" s="2" t="s">
        <v>353</v>
      </c>
      <c r="I75" s="3" t="s">
        <v>354</v>
      </c>
      <c r="J75" s="2">
        <v>600</v>
      </c>
      <c r="K75" s="2">
        <v>1</v>
      </c>
      <c r="L75" s="2">
        <f t="shared" si="22"/>
        <v>600</v>
      </c>
      <c r="M75" s="3" t="s">
        <v>180</v>
      </c>
      <c r="N75" s="13" t="s">
        <v>339</v>
      </c>
      <c r="O75" s="2"/>
      <c r="P75" s="2"/>
      <c r="Q75" s="2" t="s">
        <v>340</v>
      </c>
      <c r="R75" s="222">
        <f t="shared" si="23"/>
        <v>4271410.6930693081</v>
      </c>
      <c r="S75" s="2"/>
      <c r="T75" s="206">
        <f t="shared" si="24"/>
        <v>1186502.9702970299</v>
      </c>
      <c r="U75" s="2"/>
      <c r="V75" s="204">
        <f t="shared" si="25"/>
        <v>7.1190178217821805</v>
      </c>
      <c r="W75" s="2"/>
      <c r="X75" s="204">
        <f t="shared" si="26"/>
        <v>1.9775049504950497</v>
      </c>
      <c r="Y75" s="2"/>
      <c r="Z75" s="2"/>
      <c r="AA75" s="2"/>
      <c r="AB75" s="2"/>
      <c r="AC75" s="2"/>
      <c r="AD75" s="2"/>
      <c r="AE75" s="218">
        <f t="shared" si="27"/>
        <v>330749.56800000009</v>
      </c>
      <c r="AF75" s="2"/>
      <c r="AG75" s="207">
        <f t="shared" si="28"/>
        <v>0.33074956800000005</v>
      </c>
      <c r="AH75" s="2"/>
      <c r="AI75" s="14">
        <v>0.34200000000000003</v>
      </c>
      <c r="AJ75" s="205">
        <f t="shared" si="29"/>
        <v>1797552.0000000002</v>
      </c>
      <c r="AK75" s="2"/>
      <c r="AL75" s="2">
        <v>20</v>
      </c>
      <c r="AM75" s="206">
        <f t="shared" si="30"/>
        <v>35951040.000000007</v>
      </c>
      <c r="AN75" s="206">
        <f t="shared" si="31"/>
        <v>59918400.000000015</v>
      </c>
      <c r="AO75" s="3"/>
      <c r="AP75" s="2"/>
      <c r="AQ75" s="204">
        <v>30.3</v>
      </c>
      <c r="AR75" s="2"/>
      <c r="AS75" s="203">
        <f t="shared" si="32"/>
        <v>0.11881188118811881</v>
      </c>
      <c r="AT75" s="2"/>
      <c r="AU75" s="203">
        <f t="shared" si="17"/>
        <v>3.3003300330033E-2</v>
      </c>
      <c r="AV75" s="4"/>
      <c r="AW75" s="203">
        <f t="shared" si="19"/>
        <v>0.66006600660066006</v>
      </c>
      <c r="AX75" s="3">
        <v>9.1999999999999993</v>
      </c>
      <c r="AY75" s="2"/>
      <c r="AZ75" s="2"/>
    </row>
    <row r="76" spans="1:52" ht="19" customHeight="1">
      <c r="A76" s="1" t="s">
        <v>562</v>
      </c>
      <c r="B76" s="2" t="str">
        <f t="shared" si="20"/>
        <v>Lenzen</v>
      </c>
      <c r="C76" s="2">
        <v>1996</v>
      </c>
      <c r="D76" s="2"/>
      <c r="E76" s="11">
        <f t="shared" si="21"/>
        <v>1996</v>
      </c>
      <c r="F76" s="12">
        <f>LOOKUP(E76,Total_wind_installed_capacity!$A$3:$A$28,Total_wind_installed_capacity!$H$3:$H$28)</f>
        <v>5.6738550000000005</v>
      </c>
      <c r="G76" s="3" t="s">
        <v>27</v>
      </c>
      <c r="H76" s="2" t="s">
        <v>341</v>
      </c>
      <c r="I76" s="3" t="s">
        <v>212</v>
      </c>
      <c r="J76" s="2">
        <v>1000</v>
      </c>
      <c r="K76" s="2">
        <v>1</v>
      </c>
      <c r="L76" s="2">
        <f t="shared" si="22"/>
        <v>1000</v>
      </c>
      <c r="M76" s="3" t="s">
        <v>350</v>
      </c>
      <c r="N76" s="13" t="s">
        <v>339</v>
      </c>
      <c r="O76" s="2">
        <v>54</v>
      </c>
      <c r="P76" s="2">
        <v>55</v>
      </c>
      <c r="Q76" s="2" t="s">
        <v>340</v>
      </c>
      <c r="R76" s="222">
        <f t="shared" si="23"/>
        <v>0</v>
      </c>
      <c r="S76" s="2"/>
      <c r="T76" s="206">
        <f t="shared" si="24"/>
        <v>0</v>
      </c>
      <c r="U76" s="2"/>
      <c r="V76" s="204">
        <f t="shared" si="25"/>
        <v>0</v>
      </c>
      <c r="W76" s="2"/>
      <c r="X76" s="204">
        <f t="shared" si="26"/>
        <v>0</v>
      </c>
      <c r="Y76" s="2"/>
      <c r="Z76" s="2"/>
      <c r="AA76" s="2"/>
      <c r="AB76" s="2"/>
      <c r="AC76" s="2"/>
      <c r="AD76" s="2"/>
      <c r="AE76" s="218">
        <f t="shared" si="27"/>
        <v>453768</v>
      </c>
      <c r="AF76" s="2"/>
      <c r="AG76" s="207">
        <f t="shared" si="28"/>
        <v>0.45376799999999995</v>
      </c>
      <c r="AH76" s="2"/>
      <c r="AI76" s="14">
        <v>0.185</v>
      </c>
      <c r="AJ76" s="205">
        <f t="shared" si="29"/>
        <v>1620600</v>
      </c>
      <c r="AK76" s="2"/>
      <c r="AL76" s="2">
        <v>20</v>
      </c>
      <c r="AM76" s="206">
        <f t="shared" si="30"/>
        <v>32412000</v>
      </c>
      <c r="AN76" s="206">
        <f t="shared" si="31"/>
        <v>32412000</v>
      </c>
      <c r="AO76" s="3"/>
      <c r="AP76" s="2"/>
      <c r="AQ76" s="204"/>
      <c r="AR76" s="2"/>
      <c r="AS76" s="203">
        <f t="shared" si="32"/>
        <v>0</v>
      </c>
      <c r="AT76" s="2"/>
      <c r="AU76" s="203"/>
      <c r="AV76" s="4"/>
      <c r="AW76" s="203">
        <f t="shared" si="19"/>
        <v>0</v>
      </c>
      <c r="AX76" s="3">
        <v>14</v>
      </c>
      <c r="AY76" s="2"/>
      <c r="AZ76" s="2"/>
    </row>
    <row r="77" spans="1:52" ht="19" customHeight="1">
      <c r="A77" s="1" t="s">
        <v>562</v>
      </c>
      <c r="B77" s="2" t="str">
        <f t="shared" si="20"/>
        <v>Lenzen</v>
      </c>
      <c r="C77" s="2">
        <v>1996</v>
      </c>
      <c r="D77" s="2"/>
      <c r="E77" s="11">
        <f t="shared" si="21"/>
        <v>1996</v>
      </c>
      <c r="F77" s="12">
        <f>LOOKUP(E77,Total_wind_installed_capacity!$A$3:$A$28,Total_wind_installed_capacity!$H$3:$H$28)</f>
        <v>5.6738550000000005</v>
      </c>
      <c r="G77" s="3" t="s">
        <v>27</v>
      </c>
      <c r="H77" s="2" t="s">
        <v>341</v>
      </c>
      <c r="I77" s="3" t="s">
        <v>212</v>
      </c>
      <c r="J77" s="2">
        <v>1000</v>
      </c>
      <c r="K77" s="2">
        <v>1</v>
      </c>
      <c r="L77" s="2">
        <f t="shared" si="22"/>
        <v>1000</v>
      </c>
      <c r="M77" s="3" t="s">
        <v>350</v>
      </c>
      <c r="N77" s="13" t="s">
        <v>339</v>
      </c>
      <c r="O77" s="2">
        <v>60</v>
      </c>
      <c r="P77" s="2">
        <v>50</v>
      </c>
      <c r="Q77" s="2" t="s">
        <v>356</v>
      </c>
      <c r="R77" s="222">
        <f t="shared" si="23"/>
        <v>7983239.1608391609</v>
      </c>
      <c r="S77" s="2"/>
      <c r="T77" s="206">
        <f t="shared" si="24"/>
        <v>2217566.4335664334</v>
      </c>
      <c r="U77" s="2"/>
      <c r="V77" s="204">
        <f t="shared" si="25"/>
        <v>7.9832391608391609</v>
      </c>
      <c r="W77" s="2"/>
      <c r="X77" s="204">
        <f t="shared" si="26"/>
        <v>2.2175664335664331</v>
      </c>
      <c r="Y77" s="2"/>
      <c r="Z77" s="2"/>
      <c r="AA77" s="2"/>
      <c r="AB77" s="2"/>
      <c r="AC77" s="2"/>
      <c r="AD77" s="2"/>
      <c r="AE77" s="218">
        <f t="shared" si="27"/>
        <v>634224.00000000012</v>
      </c>
      <c r="AF77" s="2"/>
      <c r="AG77" s="207">
        <f t="shared" si="28"/>
        <v>0.42281600000000008</v>
      </c>
      <c r="AH77" s="2"/>
      <c r="AI77" s="14">
        <v>0.36200000000000004</v>
      </c>
      <c r="AJ77" s="205">
        <f t="shared" si="29"/>
        <v>3171120.0000000005</v>
      </c>
      <c r="AK77" s="2"/>
      <c r="AL77" s="2">
        <v>20</v>
      </c>
      <c r="AM77" s="206">
        <f t="shared" si="30"/>
        <v>63422400.000000007</v>
      </c>
      <c r="AN77" s="206">
        <f t="shared" si="31"/>
        <v>63422400.000000007</v>
      </c>
      <c r="AO77" s="3"/>
      <c r="AP77" s="2"/>
      <c r="AQ77" s="204">
        <v>28.6</v>
      </c>
      <c r="AR77" s="2"/>
      <c r="AS77" s="203">
        <f t="shared" si="32"/>
        <v>0.12587412587412586</v>
      </c>
      <c r="AT77" s="2"/>
      <c r="AU77" s="203">
        <f t="shared" ref="AU77:AU120" si="33">1/AQ77</f>
        <v>3.4965034965034961E-2</v>
      </c>
      <c r="AV77" s="4"/>
      <c r="AW77" s="203">
        <f t="shared" si="19"/>
        <v>0.69930069930069916</v>
      </c>
      <c r="AX77" s="3">
        <v>10</v>
      </c>
      <c r="AY77" s="2"/>
      <c r="AZ77" s="2"/>
    </row>
    <row r="78" spans="1:52" ht="19" customHeight="1">
      <c r="A78" s="1" t="s">
        <v>562</v>
      </c>
      <c r="B78" s="2" t="str">
        <f t="shared" si="20"/>
        <v>Lenzen</v>
      </c>
      <c r="C78" s="2">
        <v>1998</v>
      </c>
      <c r="D78" s="2"/>
      <c r="E78" s="11">
        <f t="shared" si="21"/>
        <v>1998</v>
      </c>
      <c r="F78" s="12">
        <f>LOOKUP(E78,Total_wind_installed_capacity!$A$3:$A$28,Total_wind_installed_capacity!$H$3:$H$28)</f>
        <v>8.7342999999999993</v>
      </c>
      <c r="G78" s="3" t="s">
        <v>27</v>
      </c>
      <c r="H78" s="2" t="s">
        <v>349</v>
      </c>
      <c r="I78" s="3" t="s">
        <v>212</v>
      </c>
      <c r="J78" s="2">
        <v>1500</v>
      </c>
      <c r="K78" s="2">
        <v>1</v>
      </c>
      <c r="L78" s="2">
        <f t="shared" si="22"/>
        <v>1500</v>
      </c>
      <c r="M78" s="3" t="s">
        <v>350</v>
      </c>
      <c r="N78" s="13" t="s">
        <v>339</v>
      </c>
      <c r="O78" s="2">
        <v>66</v>
      </c>
      <c r="P78" s="2">
        <v>67</v>
      </c>
      <c r="Q78" s="2" t="s">
        <v>340</v>
      </c>
      <c r="R78" s="222">
        <f t="shared" si="23"/>
        <v>13515428.571428571</v>
      </c>
      <c r="S78" s="2"/>
      <c r="T78" s="206">
        <f t="shared" si="24"/>
        <v>3754285.7142857141</v>
      </c>
      <c r="U78" s="2"/>
      <c r="V78" s="204">
        <f t="shared" si="25"/>
        <v>9.0102857142857129</v>
      </c>
      <c r="W78" s="2"/>
      <c r="X78" s="204">
        <f t="shared" si="26"/>
        <v>2.5028571428571427</v>
      </c>
      <c r="Y78" s="2"/>
      <c r="Z78" s="2"/>
      <c r="AA78" s="2"/>
      <c r="AB78" s="2"/>
      <c r="AC78" s="2"/>
      <c r="AD78" s="2"/>
      <c r="AE78" s="218">
        <f t="shared" si="27"/>
        <v>0</v>
      </c>
      <c r="AF78" s="2"/>
      <c r="AG78" s="207">
        <f t="shared" si="28"/>
        <v>0</v>
      </c>
      <c r="AH78" s="2"/>
      <c r="AI78" s="14">
        <v>0.31</v>
      </c>
      <c r="AJ78" s="205">
        <f t="shared" si="29"/>
        <v>4073400</v>
      </c>
      <c r="AK78" s="2"/>
      <c r="AL78" s="2">
        <v>20</v>
      </c>
      <c r="AM78" s="206">
        <f t="shared" si="30"/>
        <v>81468000</v>
      </c>
      <c r="AN78" s="206">
        <f t="shared" si="31"/>
        <v>54312000</v>
      </c>
      <c r="AO78" s="3"/>
      <c r="AP78" s="2"/>
      <c r="AQ78" s="204">
        <v>21.7</v>
      </c>
      <c r="AR78" s="2"/>
      <c r="AS78" s="203">
        <f t="shared" si="32"/>
        <v>0.16589861751152074</v>
      </c>
      <c r="AT78" s="2"/>
      <c r="AU78" s="203">
        <f t="shared" si="33"/>
        <v>4.6082949308755762E-2</v>
      </c>
      <c r="AV78" s="4"/>
      <c r="AW78" s="203">
        <f t="shared" si="19"/>
        <v>0.92165898617511521</v>
      </c>
      <c r="AX78" s="3"/>
      <c r="AY78" s="2"/>
      <c r="AZ78" s="2"/>
    </row>
    <row r="79" spans="1:52" ht="19" customHeight="1">
      <c r="A79" s="1" t="s">
        <v>562</v>
      </c>
      <c r="B79" s="2" t="str">
        <f t="shared" si="20"/>
        <v>Lenzen</v>
      </c>
      <c r="C79" s="2">
        <v>1999</v>
      </c>
      <c r="D79" s="2"/>
      <c r="E79" s="11">
        <f t="shared" si="21"/>
        <v>1999</v>
      </c>
      <c r="F79" s="12">
        <f>LOOKUP(E79,Total_wind_installed_capacity!$A$3:$A$28,Total_wind_installed_capacity!$H$3:$H$28)</f>
        <v>12.372099999999998</v>
      </c>
      <c r="G79" s="3" t="s">
        <v>27</v>
      </c>
      <c r="H79" s="2" t="s">
        <v>364</v>
      </c>
      <c r="I79" s="3" t="s">
        <v>212</v>
      </c>
      <c r="J79" s="2">
        <v>1500</v>
      </c>
      <c r="K79" s="2">
        <v>1</v>
      </c>
      <c r="L79" s="2">
        <f t="shared" si="22"/>
        <v>1500</v>
      </c>
      <c r="M79" s="3" t="s">
        <v>180</v>
      </c>
      <c r="N79" s="13" t="s">
        <v>339</v>
      </c>
      <c r="O79" s="2">
        <v>66</v>
      </c>
      <c r="P79" s="2">
        <v>67</v>
      </c>
      <c r="Q79" s="2" t="s">
        <v>356</v>
      </c>
      <c r="R79" s="222">
        <f t="shared" si="23"/>
        <v>11151513.307984792</v>
      </c>
      <c r="S79" s="2"/>
      <c r="T79" s="206">
        <f t="shared" si="24"/>
        <v>3097642.5855513308</v>
      </c>
      <c r="U79" s="2"/>
      <c r="V79" s="204">
        <f t="shared" si="25"/>
        <v>7.434342205323194</v>
      </c>
      <c r="W79" s="2"/>
      <c r="X79" s="204">
        <f t="shared" si="26"/>
        <v>2.0650950570342208</v>
      </c>
      <c r="Y79" s="2"/>
      <c r="Z79" s="2"/>
      <c r="AA79" s="2"/>
      <c r="AB79" s="2"/>
      <c r="AC79" s="2"/>
      <c r="AD79" s="2"/>
      <c r="AE79" s="218">
        <f t="shared" si="27"/>
        <v>0</v>
      </c>
      <c r="AF79" s="2"/>
      <c r="AG79" s="207">
        <f t="shared" si="28"/>
        <v>0</v>
      </c>
      <c r="AH79" s="2"/>
      <c r="AI79" s="14">
        <v>0.31</v>
      </c>
      <c r="AJ79" s="205">
        <f t="shared" si="29"/>
        <v>4073400</v>
      </c>
      <c r="AK79" s="2"/>
      <c r="AL79" s="2">
        <v>20</v>
      </c>
      <c r="AM79" s="206">
        <f t="shared" si="30"/>
        <v>81468000</v>
      </c>
      <c r="AN79" s="206">
        <f t="shared" si="31"/>
        <v>54312000</v>
      </c>
      <c r="AO79" s="3"/>
      <c r="AP79" s="2"/>
      <c r="AQ79" s="204">
        <v>26.3</v>
      </c>
      <c r="AR79" s="2"/>
      <c r="AS79" s="203">
        <f t="shared" si="32"/>
        <v>0.13688212927756654</v>
      </c>
      <c r="AT79" s="2"/>
      <c r="AU79" s="203">
        <f t="shared" si="33"/>
        <v>3.8022813688212927E-2</v>
      </c>
      <c r="AV79" s="4"/>
      <c r="AW79" s="203">
        <f t="shared" si="19"/>
        <v>0.76045627376425851</v>
      </c>
      <c r="AX79" s="3"/>
      <c r="AY79" s="2"/>
      <c r="AZ79" s="2"/>
    </row>
    <row r="80" spans="1:52" ht="19" customHeight="1">
      <c r="A80" s="1" t="s">
        <v>562</v>
      </c>
      <c r="B80" s="2" t="str">
        <f t="shared" si="20"/>
        <v>Lenzen</v>
      </c>
      <c r="C80" s="2">
        <v>1999</v>
      </c>
      <c r="D80" s="2"/>
      <c r="E80" s="11">
        <f t="shared" si="21"/>
        <v>1999</v>
      </c>
      <c r="F80" s="12">
        <f>LOOKUP(E80,Total_wind_installed_capacity!$A$3:$A$28,Total_wind_installed_capacity!$H$3:$H$28)</f>
        <v>12.372099999999998</v>
      </c>
      <c r="G80" s="3" t="s">
        <v>27</v>
      </c>
      <c r="H80" s="2" t="s">
        <v>364</v>
      </c>
      <c r="I80" s="3" t="s">
        <v>374</v>
      </c>
      <c r="J80" s="2">
        <v>1500</v>
      </c>
      <c r="K80" s="2">
        <v>1</v>
      </c>
      <c r="L80" s="2">
        <f t="shared" si="22"/>
        <v>1500</v>
      </c>
      <c r="M80" s="3" t="s">
        <v>375</v>
      </c>
      <c r="N80" s="13" t="s">
        <v>339</v>
      </c>
      <c r="O80" s="2">
        <v>66</v>
      </c>
      <c r="P80" s="2">
        <v>67</v>
      </c>
      <c r="Q80" s="2" t="s">
        <v>356</v>
      </c>
      <c r="R80" s="222">
        <f t="shared" si="23"/>
        <v>13873824.920127794</v>
      </c>
      <c r="S80" s="2"/>
      <c r="T80" s="206">
        <f t="shared" si="24"/>
        <v>3853840.255591054</v>
      </c>
      <c r="U80" s="2"/>
      <c r="V80" s="204">
        <f t="shared" si="25"/>
        <v>9.2492166134185307</v>
      </c>
      <c r="W80" s="2"/>
      <c r="X80" s="204">
        <f t="shared" si="26"/>
        <v>2.5692268370607025</v>
      </c>
      <c r="Y80" s="2"/>
      <c r="Z80" s="2"/>
      <c r="AA80" s="2"/>
      <c r="AB80" s="2"/>
      <c r="AC80" s="2"/>
      <c r="AD80" s="2"/>
      <c r="AE80" s="218">
        <f t="shared" si="27"/>
        <v>0</v>
      </c>
      <c r="AF80" s="2"/>
      <c r="AG80" s="207">
        <f t="shared" si="28"/>
        <v>0</v>
      </c>
      <c r="AH80" s="2"/>
      <c r="AI80" s="14">
        <v>0.45899999999999996</v>
      </c>
      <c r="AJ80" s="205">
        <f t="shared" si="29"/>
        <v>6031259.9999999991</v>
      </c>
      <c r="AK80" s="2"/>
      <c r="AL80" s="2">
        <v>20</v>
      </c>
      <c r="AM80" s="206">
        <f t="shared" si="30"/>
        <v>120625199.99999999</v>
      </c>
      <c r="AN80" s="206">
        <f t="shared" si="31"/>
        <v>80416799.999999985</v>
      </c>
      <c r="AO80" s="3"/>
      <c r="AP80" s="2"/>
      <c r="AQ80" s="204">
        <v>31.3</v>
      </c>
      <c r="AR80" s="2"/>
      <c r="AS80" s="203">
        <f t="shared" si="32"/>
        <v>0.11501597444089456</v>
      </c>
      <c r="AT80" s="2"/>
      <c r="AU80" s="203">
        <f t="shared" si="33"/>
        <v>3.1948881789137379E-2</v>
      </c>
      <c r="AV80" s="4"/>
      <c r="AW80" s="203">
        <f t="shared" si="19"/>
        <v>0.63897763578274758</v>
      </c>
      <c r="AX80" s="3"/>
      <c r="AY80" s="2"/>
      <c r="AZ80" s="2"/>
    </row>
    <row r="81" spans="1:52" ht="19" customHeight="1">
      <c r="A81" s="1" t="s">
        <v>567</v>
      </c>
      <c r="B81" s="2" t="str">
        <f t="shared" si="20"/>
        <v>Wagner</v>
      </c>
      <c r="C81" s="2">
        <v>2004</v>
      </c>
      <c r="D81" s="2"/>
      <c r="E81" s="11">
        <f t="shared" si="21"/>
        <v>2004</v>
      </c>
      <c r="F81" s="12">
        <f>LOOKUP(E81,Total_wind_installed_capacity!$A$3:$A$28,Total_wind_installed_capacity!$H$3:$H$28)</f>
        <v>46.3964675</v>
      </c>
      <c r="G81" s="3" t="s">
        <v>27</v>
      </c>
      <c r="H81" s="2" t="s">
        <v>372</v>
      </c>
      <c r="I81" s="3" t="s">
        <v>212</v>
      </c>
      <c r="J81" s="2">
        <v>1500</v>
      </c>
      <c r="K81" s="2">
        <v>1</v>
      </c>
      <c r="L81" s="2">
        <f t="shared" si="22"/>
        <v>1500</v>
      </c>
      <c r="M81" s="3" t="s">
        <v>376</v>
      </c>
      <c r="N81" s="2" t="s">
        <v>348</v>
      </c>
      <c r="O81" s="2">
        <v>66</v>
      </c>
      <c r="P81" s="2">
        <v>67</v>
      </c>
      <c r="Q81" s="2" t="s">
        <v>356</v>
      </c>
      <c r="R81" s="222">
        <f t="shared" si="23"/>
        <v>4730400</v>
      </c>
      <c r="S81" s="2"/>
      <c r="T81" s="206">
        <f t="shared" si="24"/>
        <v>1314000</v>
      </c>
      <c r="U81" s="2"/>
      <c r="V81" s="204">
        <f t="shared" si="25"/>
        <v>3.1536</v>
      </c>
      <c r="W81" s="2"/>
      <c r="X81" s="204">
        <f t="shared" si="26"/>
        <v>0.876</v>
      </c>
      <c r="Y81" s="2"/>
      <c r="Z81" s="2"/>
      <c r="AA81" s="2"/>
      <c r="AB81" s="2"/>
      <c r="AC81" s="2"/>
      <c r="AD81" s="2"/>
      <c r="AE81" s="218">
        <f t="shared" si="27"/>
        <v>0</v>
      </c>
      <c r="AF81" s="2"/>
      <c r="AG81" s="207">
        <f t="shared" si="28"/>
        <v>0</v>
      </c>
      <c r="AH81" s="2"/>
      <c r="AI81" s="14">
        <v>0.32</v>
      </c>
      <c r="AJ81" s="205">
        <f t="shared" si="29"/>
        <v>4204800</v>
      </c>
      <c r="AK81" s="2"/>
      <c r="AL81" s="2">
        <v>20</v>
      </c>
      <c r="AM81" s="206">
        <f t="shared" si="30"/>
        <v>84096000</v>
      </c>
      <c r="AN81" s="206">
        <f t="shared" si="31"/>
        <v>56064000</v>
      </c>
      <c r="AO81" s="3"/>
      <c r="AP81" s="2"/>
      <c r="AQ81" s="204">
        <v>64</v>
      </c>
      <c r="AR81" s="2"/>
      <c r="AS81" s="203">
        <f t="shared" si="32"/>
        <v>5.6250000000000001E-2</v>
      </c>
      <c r="AT81" s="2"/>
      <c r="AU81" s="203">
        <f t="shared" si="33"/>
        <v>1.5625E-2</v>
      </c>
      <c r="AV81" s="4"/>
      <c r="AW81" s="203">
        <f t="shared" si="19"/>
        <v>0.3125</v>
      </c>
      <c r="AX81" s="3"/>
      <c r="AY81" s="2"/>
      <c r="AZ81" s="2"/>
    </row>
    <row r="82" spans="1:52" ht="19" customHeight="1">
      <c r="A82" s="1" t="s">
        <v>567</v>
      </c>
      <c r="B82" s="2" t="str">
        <f t="shared" si="20"/>
        <v>Wagner</v>
      </c>
      <c r="C82" s="2">
        <v>2004</v>
      </c>
      <c r="D82" s="2"/>
      <c r="E82" s="11">
        <f t="shared" si="21"/>
        <v>2004</v>
      </c>
      <c r="F82" s="12">
        <f>LOOKUP(E82,Total_wind_installed_capacity!$A$3:$A$28,Total_wind_installed_capacity!$H$3:$H$28)</f>
        <v>46.3964675</v>
      </c>
      <c r="G82" s="3" t="s">
        <v>27</v>
      </c>
      <c r="H82" s="2" t="s">
        <v>372</v>
      </c>
      <c r="I82" s="3" t="s">
        <v>212</v>
      </c>
      <c r="J82" s="2">
        <v>1500</v>
      </c>
      <c r="K82" s="2">
        <v>1</v>
      </c>
      <c r="L82" s="2">
        <f t="shared" si="22"/>
        <v>1500</v>
      </c>
      <c r="M82" s="3" t="s">
        <v>376</v>
      </c>
      <c r="N82" s="2" t="s">
        <v>348</v>
      </c>
      <c r="O82" s="2">
        <v>66</v>
      </c>
      <c r="P82" s="2">
        <v>67</v>
      </c>
      <c r="Q82" s="2" t="s">
        <v>356</v>
      </c>
      <c r="R82" s="222">
        <f t="shared" si="23"/>
        <v>7568640.0000000009</v>
      </c>
      <c r="S82" s="2"/>
      <c r="T82" s="206">
        <f t="shared" si="24"/>
        <v>2102400</v>
      </c>
      <c r="U82" s="2"/>
      <c r="V82" s="204">
        <f t="shared" si="25"/>
        <v>5.0457600000000005</v>
      </c>
      <c r="W82" s="2"/>
      <c r="X82" s="204">
        <f t="shared" si="26"/>
        <v>1.4016</v>
      </c>
      <c r="Y82" s="2"/>
      <c r="Z82" s="2"/>
      <c r="AA82" s="2"/>
      <c r="AB82" s="2"/>
      <c r="AC82" s="2"/>
      <c r="AD82" s="2"/>
      <c r="AE82" s="218">
        <f t="shared" si="27"/>
        <v>0</v>
      </c>
      <c r="AF82" s="2"/>
      <c r="AG82" s="207">
        <f t="shared" si="28"/>
        <v>0</v>
      </c>
      <c r="AH82" s="2"/>
      <c r="AI82" s="14">
        <v>0.4</v>
      </c>
      <c r="AJ82" s="205">
        <f t="shared" si="29"/>
        <v>5256000</v>
      </c>
      <c r="AK82" s="2"/>
      <c r="AL82" s="2">
        <v>20</v>
      </c>
      <c r="AM82" s="206">
        <f t="shared" si="30"/>
        <v>105120000</v>
      </c>
      <c r="AN82" s="206">
        <f t="shared" si="31"/>
        <v>70080000</v>
      </c>
      <c r="AO82" s="3"/>
      <c r="AP82" s="2"/>
      <c r="AQ82" s="204">
        <v>50</v>
      </c>
      <c r="AR82" s="2"/>
      <c r="AS82" s="203">
        <f t="shared" si="32"/>
        <v>7.2000000000000008E-2</v>
      </c>
      <c r="AT82" s="2"/>
      <c r="AU82" s="203">
        <f t="shared" si="33"/>
        <v>0.02</v>
      </c>
      <c r="AV82" s="4"/>
      <c r="AW82" s="203">
        <f t="shared" si="19"/>
        <v>0.4</v>
      </c>
      <c r="AX82" s="3"/>
      <c r="AY82" s="2"/>
      <c r="AZ82" s="2"/>
    </row>
    <row r="83" spans="1:52" ht="19" customHeight="1">
      <c r="A83" s="1" t="s">
        <v>567</v>
      </c>
      <c r="B83" s="2" t="str">
        <f t="shared" si="20"/>
        <v>Wagner</v>
      </c>
      <c r="C83" s="2">
        <v>2004</v>
      </c>
      <c r="D83" s="2"/>
      <c r="E83" s="11">
        <f t="shared" si="21"/>
        <v>2004</v>
      </c>
      <c r="F83" s="12">
        <f>LOOKUP(E83,Total_wind_installed_capacity!$A$3:$A$28,Total_wind_installed_capacity!$H$3:$H$28)</f>
        <v>46.3964675</v>
      </c>
      <c r="G83" s="3" t="s">
        <v>27</v>
      </c>
      <c r="H83" s="2" t="s">
        <v>372</v>
      </c>
      <c r="I83" s="3" t="s">
        <v>212</v>
      </c>
      <c r="J83" s="2">
        <v>1500</v>
      </c>
      <c r="K83" s="2">
        <v>1</v>
      </c>
      <c r="L83" s="2">
        <f t="shared" si="22"/>
        <v>1500</v>
      </c>
      <c r="M83" s="3" t="s">
        <v>376</v>
      </c>
      <c r="N83" s="2" t="s">
        <v>348</v>
      </c>
      <c r="O83" s="2">
        <v>66</v>
      </c>
      <c r="P83" s="2">
        <v>67</v>
      </c>
      <c r="Q83" s="2" t="s">
        <v>356</v>
      </c>
      <c r="R83" s="222">
        <f t="shared" si="23"/>
        <v>12614400</v>
      </c>
      <c r="S83" s="2"/>
      <c r="T83" s="206">
        <f t="shared" si="24"/>
        <v>3504000</v>
      </c>
      <c r="U83" s="2"/>
      <c r="V83" s="204">
        <f t="shared" si="25"/>
        <v>8.4096000000000011</v>
      </c>
      <c r="W83" s="2"/>
      <c r="X83" s="204">
        <f t="shared" si="26"/>
        <v>2.3359999999999999</v>
      </c>
      <c r="Y83" s="2"/>
      <c r="Z83" s="2"/>
      <c r="AA83" s="2"/>
      <c r="AB83" s="2"/>
      <c r="AC83" s="2"/>
      <c r="AD83" s="2"/>
      <c r="AE83" s="218">
        <f t="shared" si="27"/>
        <v>0</v>
      </c>
      <c r="AF83" s="2"/>
      <c r="AG83" s="207">
        <f t="shared" si="28"/>
        <v>0</v>
      </c>
      <c r="AH83" s="2"/>
      <c r="AI83" s="14">
        <v>0.52</v>
      </c>
      <c r="AJ83" s="205">
        <f t="shared" si="29"/>
        <v>6832800</v>
      </c>
      <c r="AK83" s="2"/>
      <c r="AL83" s="2">
        <v>20</v>
      </c>
      <c r="AM83" s="206">
        <f t="shared" si="30"/>
        <v>136656000</v>
      </c>
      <c r="AN83" s="206">
        <f t="shared" si="31"/>
        <v>91104000</v>
      </c>
      <c r="AO83" s="3"/>
      <c r="AP83" s="2"/>
      <c r="AQ83" s="204">
        <v>39</v>
      </c>
      <c r="AR83" s="2"/>
      <c r="AS83" s="203">
        <f t="shared" si="32"/>
        <v>9.2307692307692313E-2</v>
      </c>
      <c r="AT83" s="2"/>
      <c r="AU83" s="203">
        <f t="shared" si="33"/>
        <v>2.564102564102564E-2</v>
      </c>
      <c r="AV83" s="4"/>
      <c r="AW83" s="203">
        <f t="shared" si="19"/>
        <v>0.51282051282051277</v>
      </c>
      <c r="AX83" s="3"/>
      <c r="AY83" s="2"/>
      <c r="AZ83" s="2"/>
    </row>
    <row r="84" spans="1:52" ht="19" customHeight="1">
      <c r="A84" s="1" t="s">
        <v>562</v>
      </c>
      <c r="B84" s="2" t="str">
        <f t="shared" si="20"/>
        <v>Lenzen</v>
      </c>
      <c r="C84" s="2">
        <v>1991</v>
      </c>
      <c r="D84" s="2"/>
      <c r="E84" s="11">
        <f t="shared" si="21"/>
        <v>1991</v>
      </c>
      <c r="F84" s="12">
        <f>LOOKUP(E84,Total_wind_installed_capacity!$A$3:$A$28,Total_wind_installed_capacity!$H$3:$H$28)</f>
        <v>2.5305050000000002</v>
      </c>
      <c r="G84" s="3" t="s">
        <v>27</v>
      </c>
      <c r="H84" s="2" t="s">
        <v>36</v>
      </c>
      <c r="I84" s="3" t="s">
        <v>212</v>
      </c>
      <c r="J84" s="2">
        <v>3000</v>
      </c>
      <c r="K84" s="2">
        <v>1</v>
      </c>
      <c r="L84" s="2">
        <f t="shared" si="22"/>
        <v>3000</v>
      </c>
      <c r="M84" s="3" t="s">
        <v>180</v>
      </c>
      <c r="N84" s="13" t="s">
        <v>339</v>
      </c>
      <c r="O84" s="2">
        <v>80</v>
      </c>
      <c r="P84" s="2"/>
      <c r="Q84" s="2" t="s">
        <v>356</v>
      </c>
      <c r="R84" s="222">
        <f t="shared" si="23"/>
        <v>29149491.891891893</v>
      </c>
      <c r="S84" s="2"/>
      <c r="T84" s="206">
        <f t="shared" si="24"/>
        <v>8097081.0810810812</v>
      </c>
      <c r="U84" s="2"/>
      <c r="V84" s="204">
        <f t="shared" si="25"/>
        <v>9.7164972972972965</v>
      </c>
      <c r="W84" s="2"/>
      <c r="X84" s="204">
        <f t="shared" si="26"/>
        <v>2.6990270270270269</v>
      </c>
      <c r="Y84" s="2"/>
      <c r="Z84" s="2"/>
      <c r="AA84" s="2"/>
      <c r="AB84" s="2"/>
      <c r="AC84" s="2"/>
      <c r="AD84" s="2"/>
      <c r="AE84" s="218">
        <f t="shared" si="27"/>
        <v>0</v>
      </c>
      <c r="AF84" s="2"/>
      <c r="AG84" s="207">
        <f t="shared" si="28"/>
        <v>0</v>
      </c>
      <c r="AH84" s="2"/>
      <c r="AI84" s="14">
        <v>0.34200000000000003</v>
      </c>
      <c r="AJ84" s="205">
        <f t="shared" si="29"/>
        <v>8987760</v>
      </c>
      <c r="AK84" s="2"/>
      <c r="AL84" s="2">
        <v>20</v>
      </c>
      <c r="AM84" s="206">
        <f t="shared" si="30"/>
        <v>179755200</v>
      </c>
      <c r="AN84" s="206">
        <f t="shared" si="31"/>
        <v>59918400</v>
      </c>
      <c r="AO84" s="3"/>
      <c r="AP84" s="2"/>
      <c r="AQ84" s="204">
        <v>22.2</v>
      </c>
      <c r="AR84" s="2"/>
      <c r="AS84" s="203">
        <f t="shared" si="32"/>
        <v>0.16216216216216217</v>
      </c>
      <c r="AT84" s="2"/>
      <c r="AU84" s="203">
        <f t="shared" si="33"/>
        <v>4.504504504504505E-2</v>
      </c>
      <c r="AV84" s="4"/>
      <c r="AW84" s="203">
        <f t="shared" si="19"/>
        <v>0.90090090090090102</v>
      </c>
      <c r="AX84" s="3"/>
      <c r="AY84" s="2"/>
      <c r="AZ84" s="2"/>
    </row>
    <row r="85" spans="1:52" ht="19" customHeight="1">
      <c r="A85" s="1" t="s">
        <v>562</v>
      </c>
      <c r="B85" s="2" t="str">
        <f t="shared" si="20"/>
        <v>Lenzen</v>
      </c>
      <c r="C85" s="2">
        <v>1991</v>
      </c>
      <c r="D85" s="2"/>
      <c r="E85" s="11">
        <f t="shared" si="21"/>
        <v>1991</v>
      </c>
      <c r="F85" s="12">
        <f>LOOKUP(E85,Total_wind_installed_capacity!$A$3:$A$28,Total_wind_installed_capacity!$H$3:$H$28)</f>
        <v>2.5305050000000002</v>
      </c>
      <c r="G85" s="3" t="s">
        <v>27</v>
      </c>
      <c r="H85" s="2" t="s">
        <v>369</v>
      </c>
      <c r="I85" s="3" t="s">
        <v>212</v>
      </c>
      <c r="J85" s="2">
        <v>3000</v>
      </c>
      <c r="K85" s="2">
        <v>1</v>
      </c>
      <c r="L85" s="2">
        <f t="shared" si="22"/>
        <v>3000</v>
      </c>
      <c r="M85" s="3" t="s">
        <v>358</v>
      </c>
      <c r="N85" s="13" t="s">
        <v>339</v>
      </c>
      <c r="O85" s="2">
        <v>100</v>
      </c>
      <c r="P85" s="2">
        <v>100</v>
      </c>
      <c r="Q85" s="2" t="s">
        <v>340</v>
      </c>
      <c r="R85" s="222">
        <f t="shared" si="23"/>
        <v>37351729.870129868</v>
      </c>
      <c r="S85" s="2"/>
      <c r="T85" s="206">
        <f t="shared" si="24"/>
        <v>10375480.519480519</v>
      </c>
      <c r="U85" s="2"/>
      <c r="V85" s="204">
        <f t="shared" si="25"/>
        <v>12.450576623376623</v>
      </c>
      <c r="W85" s="2"/>
      <c r="X85" s="204">
        <f t="shared" si="26"/>
        <v>3.4584935064935061</v>
      </c>
      <c r="Y85" s="2"/>
      <c r="Z85" s="2"/>
      <c r="AA85" s="2"/>
      <c r="AB85" s="2"/>
      <c r="AC85" s="2"/>
      <c r="AD85" s="2"/>
      <c r="AE85" s="218">
        <f t="shared" si="27"/>
        <v>0</v>
      </c>
      <c r="AF85" s="2"/>
      <c r="AG85" s="207">
        <f t="shared" si="28"/>
        <v>0</v>
      </c>
      <c r="AH85" s="2"/>
      <c r="AI85" s="14">
        <v>0.30399999999999999</v>
      </c>
      <c r="AJ85" s="205">
        <f t="shared" si="29"/>
        <v>7989120</v>
      </c>
      <c r="AK85" s="2"/>
      <c r="AL85" s="2">
        <v>20</v>
      </c>
      <c r="AM85" s="206">
        <f t="shared" si="30"/>
        <v>159782400</v>
      </c>
      <c r="AN85" s="206">
        <f t="shared" si="31"/>
        <v>53260800</v>
      </c>
      <c r="AO85" s="3"/>
      <c r="AP85" s="2"/>
      <c r="AQ85" s="204">
        <v>15.4</v>
      </c>
      <c r="AR85" s="2"/>
      <c r="AS85" s="203">
        <f t="shared" si="32"/>
        <v>0.23376623376623376</v>
      </c>
      <c r="AT85" s="2"/>
      <c r="AU85" s="203">
        <f t="shared" si="33"/>
        <v>6.4935064935064929E-2</v>
      </c>
      <c r="AV85" s="4"/>
      <c r="AW85" s="203">
        <f t="shared" si="19"/>
        <v>1.2987012987012987</v>
      </c>
      <c r="AX85" s="3"/>
      <c r="AY85" s="2"/>
      <c r="AZ85" s="2"/>
    </row>
    <row r="86" spans="1:52" ht="19" customHeight="1">
      <c r="A86" s="1" t="s">
        <v>568</v>
      </c>
      <c r="B86" s="2" t="str">
        <f t="shared" si="20"/>
        <v>Tryfonidou</v>
      </c>
      <c r="C86" s="2">
        <v>2004</v>
      </c>
      <c r="D86" s="2"/>
      <c r="E86" s="11">
        <f t="shared" si="21"/>
        <v>2004</v>
      </c>
      <c r="F86" s="12">
        <f>LOOKUP(E86,Total_wind_installed_capacity!$A$3:$A$28,Total_wind_installed_capacity!$H$3:$H$28)</f>
        <v>46.3964675</v>
      </c>
      <c r="G86" s="3" t="s">
        <v>27</v>
      </c>
      <c r="H86" s="2" t="s">
        <v>33</v>
      </c>
      <c r="I86" s="3" t="s">
        <v>212</v>
      </c>
      <c r="J86" s="2">
        <v>5000</v>
      </c>
      <c r="K86" s="2">
        <v>1</v>
      </c>
      <c r="L86" s="2">
        <f t="shared" si="22"/>
        <v>5000</v>
      </c>
      <c r="M86" s="3" t="s">
        <v>377</v>
      </c>
      <c r="N86" s="2" t="s">
        <v>359</v>
      </c>
      <c r="O86" s="2">
        <v>126.5</v>
      </c>
      <c r="P86" s="2">
        <v>95</v>
      </c>
      <c r="Q86" s="2" t="s">
        <v>356</v>
      </c>
      <c r="R86" s="222">
        <f t="shared" si="23"/>
        <v>106540540.54054052</v>
      </c>
      <c r="S86" s="2"/>
      <c r="T86" s="206">
        <f t="shared" si="24"/>
        <v>29594594.594594587</v>
      </c>
      <c r="U86" s="2"/>
      <c r="V86" s="204">
        <f t="shared" si="25"/>
        <v>21.308108108108105</v>
      </c>
      <c r="W86" s="2"/>
      <c r="X86" s="204">
        <f t="shared" si="26"/>
        <v>5.9189189189189175</v>
      </c>
      <c r="Y86" s="2"/>
      <c r="Z86" s="2"/>
      <c r="AA86" s="2"/>
      <c r="AB86" s="2"/>
      <c r="AC86" s="2"/>
      <c r="AD86" s="2"/>
      <c r="AE86" s="218">
        <f t="shared" si="27"/>
        <v>0</v>
      </c>
      <c r="AF86" s="2"/>
      <c r="AG86" s="207">
        <f t="shared" si="28"/>
        <v>0</v>
      </c>
      <c r="AH86" s="2"/>
      <c r="AI86" s="14">
        <v>0.5</v>
      </c>
      <c r="AJ86" s="205">
        <f t="shared" si="29"/>
        <v>21900000</v>
      </c>
      <c r="AK86" s="2"/>
      <c r="AL86" s="2">
        <v>20</v>
      </c>
      <c r="AM86" s="206">
        <f t="shared" si="30"/>
        <v>438000000</v>
      </c>
      <c r="AN86" s="206">
        <f t="shared" si="31"/>
        <v>87600000</v>
      </c>
      <c r="AO86" s="3"/>
      <c r="AP86" s="2"/>
      <c r="AQ86" s="204">
        <v>14.8</v>
      </c>
      <c r="AR86" s="2"/>
      <c r="AS86" s="203">
        <f t="shared" si="32"/>
        <v>0.2432432432432432</v>
      </c>
      <c r="AT86" s="2"/>
      <c r="AU86" s="203">
        <f t="shared" si="33"/>
        <v>6.7567567567567557E-2</v>
      </c>
      <c r="AV86" s="4"/>
      <c r="AW86" s="203">
        <v>0.33</v>
      </c>
      <c r="AX86" s="3"/>
      <c r="AY86" s="2"/>
      <c r="AZ86" s="2"/>
    </row>
    <row r="87" spans="1:52" ht="19" customHeight="1">
      <c r="A87" s="1" t="s">
        <v>569</v>
      </c>
      <c r="B87" s="2" t="str">
        <f t="shared" si="20"/>
        <v>Hondo</v>
      </c>
      <c r="C87" s="2">
        <v>2005</v>
      </c>
      <c r="D87" s="2"/>
      <c r="E87" s="11">
        <f t="shared" si="21"/>
        <v>2005</v>
      </c>
      <c r="F87" s="12">
        <f>LOOKUP(E87,Total_wind_installed_capacity!$A$3:$A$28,Total_wind_installed_capacity!$H$3:$H$28)</f>
        <v>57.6165175</v>
      </c>
      <c r="G87" s="3" t="s">
        <v>74</v>
      </c>
      <c r="H87" s="2" t="s">
        <v>341</v>
      </c>
      <c r="I87" s="3" t="s">
        <v>160</v>
      </c>
      <c r="J87" s="2">
        <v>300</v>
      </c>
      <c r="K87" s="2">
        <v>1</v>
      </c>
      <c r="L87" s="2">
        <f t="shared" si="22"/>
        <v>300</v>
      </c>
      <c r="M87" s="3" t="s">
        <v>180</v>
      </c>
      <c r="N87" s="13" t="s">
        <v>339</v>
      </c>
      <c r="O87" s="2"/>
      <c r="P87" s="2"/>
      <c r="Q87" s="2" t="s">
        <v>356</v>
      </c>
      <c r="R87" s="222">
        <f t="shared" si="23"/>
        <v>1924230.5084745763</v>
      </c>
      <c r="S87" s="2"/>
      <c r="T87" s="206">
        <f t="shared" si="24"/>
        <v>534508.47457627114</v>
      </c>
      <c r="U87" s="2"/>
      <c r="V87" s="204">
        <f t="shared" si="25"/>
        <v>6.4141016949152547</v>
      </c>
      <c r="W87" s="2"/>
      <c r="X87" s="204">
        <f t="shared" si="26"/>
        <v>1.7816949152542372</v>
      </c>
      <c r="Y87" s="2"/>
      <c r="Z87" s="2"/>
      <c r="AA87" s="2"/>
      <c r="AB87" s="2"/>
      <c r="AC87" s="2"/>
      <c r="AD87" s="2"/>
      <c r="AE87" s="218">
        <f t="shared" si="27"/>
        <v>0</v>
      </c>
      <c r="AF87" s="2"/>
      <c r="AG87" s="207">
        <f t="shared" si="28"/>
        <v>0</v>
      </c>
      <c r="AH87" s="2"/>
      <c r="AI87" s="14">
        <v>0.2</v>
      </c>
      <c r="AJ87" s="205">
        <f t="shared" si="29"/>
        <v>525600</v>
      </c>
      <c r="AK87" s="2"/>
      <c r="AL87" s="2">
        <v>30</v>
      </c>
      <c r="AM87" s="206">
        <f t="shared" si="30"/>
        <v>15768000</v>
      </c>
      <c r="AN87" s="206">
        <f t="shared" si="31"/>
        <v>52560000</v>
      </c>
      <c r="AO87" s="3"/>
      <c r="AP87" s="2"/>
      <c r="AQ87" s="204">
        <v>29.5</v>
      </c>
      <c r="AR87" s="2"/>
      <c r="AS87" s="203">
        <f t="shared" si="32"/>
        <v>0.12203389830508475</v>
      </c>
      <c r="AT87" s="2"/>
      <c r="AU87" s="203">
        <f t="shared" si="33"/>
        <v>3.3898305084745763E-2</v>
      </c>
      <c r="AV87" s="4"/>
      <c r="AW87" s="203">
        <f t="shared" ref="AW87:AW113" si="34">AL87*AU87</f>
        <v>1.0169491525423728</v>
      </c>
      <c r="AX87" s="3"/>
      <c r="AY87" s="2"/>
      <c r="AZ87" s="2"/>
    </row>
    <row r="88" spans="1:52" ht="19" customHeight="1">
      <c r="A88" s="1" t="s">
        <v>569</v>
      </c>
      <c r="B88" s="2" t="str">
        <f t="shared" si="20"/>
        <v>Hondo</v>
      </c>
      <c r="C88" s="2">
        <v>2005</v>
      </c>
      <c r="D88" s="2"/>
      <c r="E88" s="11">
        <f t="shared" si="21"/>
        <v>2005</v>
      </c>
      <c r="F88" s="12">
        <f>LOOKUP(E88,Total_wind_installed_capacity!$A$3:$A$28,Total_wind_installed_capacity!$H$3:$H$28)</f>
        <v>57.6165175</v>
      </c>
      <c r="G88" s="3" t="s">
        <v>74</v>
      </c>
      <c r="H88" s="2" t="s">
        <v>341</v>
      </c>
      <c r="I88" s="3" t="s">
        <v>160</v>
      </c>
      <c r="J88" s="2">
        <v>400</v>
      </c>
      <c r="K88" s="2">
        <v>1</v>
      </c>
      <c r="L88" s="2">
        <f t="shared" si="22"/>
        <v>400</v>
      </c>
      <c r="M88" s="3" t="s">
        <v>180</v>
      </c>
      <c r="N88" s="13" t="s">
        <v>339</v>
      </c>
      <c r="O88" s="2"/>
      <c r="P88" s="2"/>
      <c r="Q88" s="2" t="s">
        <v>356</v>
      </c>
      <c r="R88" s="222">
        <f t="shared" si="23"/>
        <v>3728394.0886699501</v>
      </c>
      <c r="S88" s="2"/>
      <c r="T88" s="206">
        <f t="shared" si="24"/>
        <v>1035665.0246305417</v>
      </c>
      <c r="U88" s="2"/>
      <c r="V88" s="204">
        <f t="shared" si="25"/>
        <v>9.3209852216748743</v>
      </c>
      <c r="W88" s="2"/>
      <c r="X88" s="204">
        <f t="shared" si="26"/>
        <v>2.5891625615763543</v>
      </c>
      <c r="Y88" s="2"/>
      <c r="Z88" s="2"/>
      <c r="AA88" s="2"/>
      <c r="AB88" s="2"/>
      <c r="AC88" s="2"/>
      <c r="AD88" s="2"/>
      <c r="AE88" s="218">
        <f t="shared" si="27"/>
        <v>0</v>
      </c>
      <c r="AF88" s="2"/>
      <c r="AG88" s="207">
        <f t="shared" si="28"/>
        <v>0</v>
      </c>
      <c r="AH88" s="2"/>
      <c r="AI88" s="14">
        <v>0.2</v>
      </c>
      <c r="AJ88" s="205">
        <f t="shared" si="29"/>
        <v>700800</v>
      </c>
      <c r="AK88" s="2"/>
      <c r="AL88" s="2">
        <v>30</v>
      </c>
      <c r="AM88" s="206">
        <f t="shared" si="30"/>
        <v>21024000</v>
      </c>
      <c r="AN88" s="206">
        <f t="shared" si="31"/>
        <v>52560000</v>
      </c>
      <c r="AO88" s="3"/>
      <c r="AP88" s="2"/>
      <c r="AQ88" s="204">
        <v>20.3</v>
      </c>
      <c r="AR88" s="2"/>
      <c r="AS88" s="203">
        <f t="shared" si="32"/>
        <v>0.17733990147783249</v>
      </c>
      <c r="AT88" s="2"/>
      <c r="AU88" s="203">
        <f t="shared" si="33"/>
        <v>4.926108374384236E-2</v>
      </c>
      <c r="AV88" s="4"/>
      <c r="AW88" s="203">
        <f t="shared" si="34"/>
        <v>1.4778325123152709</v>
      </c>
      <c r="AX88" s="3"/>
      <c r="AY88" s="2"/>
      <c r="AZ88" s="2"/>
    </row>
    <row r="89" spans="1:52" ht="19" customHeight="1">
      <c r="A89" s="1" t="s">
        <v>570</v>
      </c>
      <c r="B89" s="2" t="str">
        <f t="shared" si="20"/>
        <v>Lenzen</v>
      </c>
      <c r="C89" s="2">
        <v>2004</v>
      </c>
      <c r="D89" s="2"/>
      <c r="E89" s="11">
        <f t="shared" si="21"/>
        <v>2004</v>
      </c>
      <c r="F89" s="12">
        <f>LOOKUP(E89,Total_wind_installed_capacity!$A$3:$A$28,Total_wind_installed_capacity!$H$3:$H$28)</f>
        <v>46.3964675</v>
      </c>
      <c r="G89" s="3" t="s">
        <v>74</v>
      </c>
      <c r="H89" s="2" t="s">
        <v>33</v>
      </c>
      <c r="I89" s="3" t="s">
        <v>212</v>
      </c>
      <c r="J89" s="2">
        <v>500</v>
      </c>
      <c r="K89" s="2">
        <v>1</v>
      </c>
      <c r="L89" s="2">
        <f t="shared" si="22"/>
        <v>500</v>
      </c>
      <c r="M89" s="3" t="s">
        <v>373</v>
      </c>
      <c r="N89" s="2" t="s">
        <v>348</v>
      </c>
      <c r="O89" s="2">
        <v>40.299999999999997</v>
      </c>
      <c r="P89" s="2">
        <v>44</v>
      </c>
      <c r="Q89" s="2" t="s">
        <v>356</v>
      </c>
      <c r="R89" s="222">
        <f t="shared" si="23"/>
        <v>0</v>
      </c>
      <c r="S89" s="2"/>
      <c r="T89" s="206">
        <f t="shared" si="24"/>
        <v>0</v>
      </c>
      <c r="U89" s="2"/>
      <c r="V89" s="204">
        <f t="shared" si="25"/>
        <v>0</v>
      </c>
      <c r="W89" s="2"/>
      <c r="X89" s="204">
        <f t="shared" si="26"/>
        <v>0</v>
      </c>
      <c r="Y89" s="2"/>
      <c r="Z89" s="2"/>
      <c r="AA89" s="2"/>
      <c r="AB89" s="2"/>
      <c r="AC89" s="2"/>
      <c r="AD89" s="2"/>
      <c r="AE89" s="218">
        <f t="shared" si="27"/>
        <v>0</v>
      </c>
      <c r="AF89" s="2"/>
      <c r="AG89" s="207">
        <f t="shared" si="28"/>
        <v>0</v>
      </c>
      <c r="AH89" s="2"/>
      <c r="AI89" s="14">
        <v>0</v>
      </c>
      <c r="AJ89" s="205">
        <f t="shared" si="29"/>
        <v>0</v>
      </c>
      <c r="AK89" s="2"/>
      <c r="AL89" s="2"/>
      <c r="AM89" s="206">
        <f t="shared" si="30"/>
        <v>0</v>
      </c>
      <c r="AN89" s="206">
        <f t="shared" si="31"/>
        <v>0</v>
      </c>
      <c r="AO89" s="3"/>
      <c r="AP89" s="2"/>
      <c r="AQ89" s="204">
        <v>8.4</v>
      </c>
      <c r="AR89" s="2"/>
      <c r="AS89" s="203">
        <f t="shared" si="32"/>
        <v>0.42857142857142855</v>
      </c>
      <c r="AT89" s="2"/>
      <c r="AU89" s="203">
        <f t="shared" si="33"/>
        <v>0.11904761904761904</v>
      </c>
      <c r="AV89" s="4"/>
      <c r="AW89" s="203">
        <f t="shared" si="34"/>
        <v>0</v>
      </c>
      <c r="AX89" s="3">
        <v>45</v>
      </c>
      <c r="AY89" s="2"/>
      <c r="AZ89" s="2"/>
    </row>
    <row r="90" spans="1:52" ht="19" customHeight="1">
      <c r="A90" s="1" t="s">
        <v>570</v>
      </c>
      <c r="B90" s="2" t="str">
        <f t="shared" si="20"/>
        <v>Lenzen</v>
      </c>
      <c r="C90" s="2">
        <v>2004</v>
      </c>
      <c r="D90" s="2"/>
      <c r="E90" s="11">
        <f t="shared" si="21"/>
        <v>2004</v>
      </c>
      <c r="F90" s="12">
        <f>LOOKUP(E90,Total_wind_installed_capacity!$A$3:$A$28,Total_wind_installed_capacity!$H$3:$H$28)</f>
        <v>46.3964675</v>
      </c>
      <c r="G90" s="3" t="s">
        <v>74</v>
      </c>
      <c r="H90" s="2" t="s">
        <v>33</v>
      </c>
      <c r="I90" s="3" t="s">
        <v>212</v>
      </c>
      <c r="J90" s="2">
        <v>500</v>
      </c>
      <c r="K90" s="2">
        <v>1</v>
      </c>
      <c r="L90" s="2">
        <f t="shared" si="22"/>
        <v>500</v>
      </c>
      <c r="M90" s="3" t="s">
        <v>373</v>
      </c>
      <c r="N90" s="2" t="s">
        <v>348</v>
      </c>
      <c r="O90" s="2">
        <v>40.299999999999997</v>
      </c>
      <c r="P90" s="2">
        <v>55</v>
      </c>
      <c r="Q90" s="2" t="s">
        <v>356</v>
      </c>
      <c r="R90" s="222">
        <f t="shared" si="23"/>
        <v>0</v>
      </c>
      <c r="S90" s="2"/>
      <c r="T90" s="206">
        <f t="shared" si="24"/>
        <v>0</v>
      </c>
      <c r="U90" s="2"/>
      <c r="V90" s="204">
        <f t="shared" si="25"/>
        <v>0</v>
      </c>
      <c r="W90" s="2"/>
      <c r="X90" s="204">
        <f t="shared" si="26"/>
        <v>0</v>
      </c>
      <c r="Y90" s="2"/>
      <c r="Z90" s="2"/>
      <c r="AA90" s="2"/>
      <c r="AB90" s="2"/>
      <c r="AC90" s="2"/>
      <c r="AD90" s="2"/>
      <c r="AE90" s="218">
        <f t="shared" si="27"/>
        <v>0</v>
      </c>
      <c r="AF90" s="2"/>
      <c r="AG90" s="207">
        <f t="shared" si="28"/>
        <v>0</v>
      </c>
      <c r="AH90" s="2"/>
      <c r="AI90" s="14">
        <v>0</v>
      </c>
      <c r="AJ90" s="205">
        <f t="shared" si="29"/>
        <v>0</v>
      </c>
      <c r="AK90" s="2"/>
      <c r="AL90" s="2"/>
      <c r="AM90" s="206">
        <f t="shared" si="30"/>
        <v>0</v>
      </c>
      <c r="AN90" s="206">
        <f t="shared" si="31"/>
        <v>0</v>
      </c>
      <c r="AO90" s="3"/>
      <c r="AP90" s="2"/>
      <c r="AQ90" s="204">
        <v>7.8</v>
      </c>
      <c r="AR90" s="2"/>
      <c r="AS90" s="203">
        <f t="shared" si="32"/>
        <v>0.46153846153846162</v>
      </c>
      <c r="AT90" s="2"/>
      <c r="AU90" s="203">
        <f t="shared" si="33"/>
        <v>0.12820512820512822</v>
      </c>
      <c r="AV90" s="4"/>
      <c r="AW90" s="203">
        <f t="shared" si="34"/>
        <v>0</v>
      </c>
      <c r="AX90" s="3">
        <v>48</v>
      </c>
      <c r="AY90" s="2"/>
      <c r="AZ90" s="2"/>
    </row>
    <row r="91" spans="1:52" ht="19" customHeight="1">
      <c r="A91" s="1" t="s">
        <v>570</v>
      </c>
      <c r="B91" s="2" t="str">
        <f t="shared" si="20"/>
        <v>Lenzen</v>
      </c>
      <c r="C91" s="2">
        <v>2004</v>
      </c>
      <c r="D91" s="2"/>
      <c r="E91" s="11">
        <f t="shared" si="21"/>
        <v>2004</v>
      </c>
      <c r="F91" s="12">
        <f>LOOKUP(E91,Total_wind_installed_capacity!$A$3:$A$28,Total_wind_installed_capacity!$H$3:$H$28)</f>
        <v>46.3964675</v>
      </c>
      <c r="G91" s="3" t="s">
        <v>74</v>
      </c>
      <c r="H91" s="2" t="s">
        <v>33</v>
      </c>
      <c r="I91" s="3" t="s">
        <v>212</v>
      </c>
      <c r="J91" s="2">
        <v>500</v>
      </c>
      <c r="K91" s="2">
        <v>1</v>
      </c>
      <c r="L91" s="2">
        <f t="shared" si="22"/>
        <v>500</v>
      </c>
      <c r="M91" s="3" t="s">
        <v>373</v>
      </c>
      <c r="N91" s="2" t="s">
        <v>348</v>
      </c>
      <c r="O91" s="2">
        <v>40.299999999999997</v>
      </c>
      <c r="P91" s="2">
        <v>55</v>
      </c>
      <c r="Q91" s="2" t="s">
        <v>356</v>
      </c>
      <c r="R91" s="222">
        <f t="shared" si="23"/>
        <v>0</v>
      </c>
      <c r="S91" s="2"/>
      <c r="T91" s="206">
        <f t="shared" si="24"/>
        <v>0</v>
      </c>
      <c r="U91" s="2"/>
      <c r="V91" s="204">
        <f t="shared" si="25"/>
        <v>0</v>
      </c>
      <c r="W91" s="2"/>
      <c r="X91" s="204">
        <f t="shared" si="26"/>
        <v>0</v>
      </c>
      <c r="Y91" s="2"/>
      <c r="Z91" s="2"/>
      <c r="AA91" s="2"/>
      <c r="AB91" s="2"/>
      <c r="AC91" s="2"/>
      <c r="AD91" s="2"/>
      <c r="AE91" s="218">
        <f t="shared" si="27"/>
        <v>0</v>
      </c>
      <c r="AF91" s="2"/>
      <c r="AG91" s="207">
        <f t="shared" si="28"/>
        <v>0</v>
      </c>
      <c r="AH91" s="2"/>
      <c r="AI91" s="14">
        <v>0</v>
      </c>
      <c r="AJ91" s="205">
        <f t="shared" si="29"/>
        <v>0</v>
      </c>
      <c r="AK91" s="2"/>
      <c r="AL91" s="2"/>
      <c r="AM91" s="206">
        <f t="shared" si="30"/>
        <v>0</v>
      </c>
      <c r="AN91" s="206">
        <f t="shared" si="31"/>
        <v>0</v>
      </c>
      <c r="AO91" s="3"/>
      <c r="AP91" s="2"/>
      <c r="AQ91" s="204">
        <v>6.2</v>
      </c>
      <c r="AR91" s="2"/>
      <c r="AS91" s="203">
        <f t="shared" si="32"/>
        <v>0.58064516129032262</v>
      </c>
      <c r="AT91" s="2"/>
      <c r="AU91" s="203">
        <f t="shared" si="33"/>
        <v>0.16129032258064516</v>
      </c>
      <c r="AV91" s="4"/>
      <c r="AW91" s="203">
        <f t="shared" si="34"/>
        <v>0</v>
      </c>
      <c r="AX91" s="3">
        <v>61</v>
      </c>
      <c r="AY91" s="2"/>
      <c r="AZ91" s="2"/>
    </row>
    <row r="92" spans="1:52" ht="19" customHeight="1">
      <c r="A92" s="1" t="s">
        <v>570</v>
      </c>
      <c r="B92" s="2" t="str">
        <f t="shared" si="20"/>
        <v>Lenzen</v>
      </c>
      <c r="C92" s="2">
        <v>2004</v>
      </c>
      <c r="D92" s="2"/>
      <c r="E92" s="11">
        <f t="shared" si="21"/>
        <v>2004</v>
      </c>
      <c r="F92" s="12">
        <f>LOOKUP(E92,Total_wind_installed_capacity!$A$3:$A$28,Total_wind_installed_capacity!$H$3:$H$28)</f>
        <v>46.3964675</v>
      </c>
      <c r="G92" s="3" t="s">
        <v>74</v>
      </c>
      <c r="H92" s="2" t="s">
        <v>33</v>
      </c>
      <c r="I92" s="3" t="s">
        <v>212</v>
      </c>
      <c r="J92" s="2">
        <v>500</v>
      </c>
      <c r="K92" s="2">
        <v>1</v>
      </c>
      <c r="L92" s="2">
        <f t="shared" si="22"/>
        <v>500</v>
      </c>
      <c r="M92" s="3" t="s">
        <v>373</v>
      </c>
      <c r="N92" s="2" t="s">
        <v>348</v>
      </c>
      <c r="O92" s="2">
        <v>40.299999999999997</v>
      </c>
      <c r="P92" s="2">
        <v>55</v>
      </c>
      <c r="Q92" s="2" t="s">
        <v>356</v>
      </c>
      <c r="R92" s="222">
        <f t="shared" si="23"/>
        <v>0</v>
      </c>
      <c r="S92" s="2"/>
      <c r="T92" s="206">
        <f t="shared" si="24"/>
        <v>0</v>
      </c>
      <c r="U92" s="2"/>
      <c r="V92" s="204">
        <f t="shared" si="25"/>
        <v>0</v>
      </c>
      <c r="W92" s="2"/>
      <c r="X92" s="204">
        <f t="shared" si="26"/>
        <v>0</v>
      </c>
      <c r="Y92" s="2"/>
      <c r="Z92" s="2"/>
      <c r="AA92" s="2"/>
      <c r="AB92" s="2"/>
      <c r="AC92" s="2"/>
      <c r="AD92" s="2"/>
      <c r="AE92" s="218">
        <f t="shared" si="27"/>
        <v>0</v>
      </c>
      <c r="AF92" s="2"/>
      <c r="AG92" s="207">
        <f t="shared" si="28"/>
        <v>0</v>
      </c>
      <c r="AH92" s="2"/>
      <c r="AI92" s="14">
        <v>0</v>
      </c>
      <c r="AJ92" s="205">
        <f t="shared" si="29"/>
        <v>0</v>
      </c>
      <c r="AK92" s="2"/>
      <c r="AL92" s="2"/>
      <c r="AM92" s="206">
        <f t="shared" si="30"/>
        <v>0</v>
      </c>
      <c r="AN92" s="206">
        <f t="shared" si="31"/>
        <v>0</v>
      </c>
      <c r="AO92" s="3"/>
      <c r="AP92" s="2"/>
      <c r="AQ92" s="204">
        <v>4.7</v>
      </c>
      <c r="AR92" s="2"/>
      <c r="AS92" s="203">
        <f t="shared" si="32"/>
        <v>0.76595744680851063</v>
      </c>
      <c r="AT92" s="2"/>
      <c r="AU92" s="203">
        <f t="shared" si="33"/>
        <v>0.21276595744680851</v>
      </c>
      <c r="AV92" s="4"/>
      <c r="AW92" s="203">
        <f t="shared" si="34"/>
        <v>0</v>
      </c>
      <c r="AX92" s="3">
        <v>81</v>
      </c>
      <c r="AY92" s="2"/>
      <c r="AZ92" s="2"/>
    </row>
    <row r="93" spans="1:52" ht="19" customHeight="1">
      <c r="A93" s="1" t="s">
        <v>570</v>
      </c>
      <c r="B93" s="2" t="str">
        <f t="shared" si="20"/>
        <v>Lenzen</v>
      </c>
      <c r="C93" s="2">
        <v>2004</v>
      </c>
      <c r="D93" s="2"/>
      <c r="E93" s="11">
        <f t="shared" si="21"/>
        <v>2004</v>
      </c>
      <c r="F93" s="12">
        <f>LOOKUP(E93,Total_wind_installed_capacity!$A$3:$A$28,Total_wind_installed_capacity!$H$3:$H$28)</f>
        <v>46.3964675</v>
      </c>
      <c r="G93" s="3" t="s">
        <v>74</v>
      </c>
      <c r="H93" s="2" t="s">
        <v>33</v>
      </c>
      <c r="I93" s="3" t="s">
        <v>212</v>
      </c>
      <c r="J93" s="2">
        <v>500</v>
      </c>
      <c r="K93" s="2">
        <v>1</v>
      </c>
      <c r="L93" s="2">
        <f t="shared" si="22"/>
        <v>500</v>
      </c>
      <c r="M93" s="3" t="s">
        <v>373</v>
      </c>
      <c r="N93" s="2" t="s">
        <v>348</v>
      </c>
      <c r="O93" s="2">
        <v>40.299999999999997</v>
      </c>
      <c r="P93" s="2">
        <v>65</v>
      </c>
      <c r="Q93" s="2" t="s">
        <v>356</v>
      </c>
      <c r="R93" s="222">
        <f t="shared" si="23"/>
        <v>0</v>
      </c>
      <c r="S93" s="2"/>
      <c r="T93" s="206">
        <f t="shared" si="24"/>
        <v>0</v>
      </c>
      <c r="U93" s="2"/>
      <c r="V93" s="204">
        <f t="shared" si="25"/>
        <v>0</v>
      </c>
      <c r="W93" s="2"/>
      <c r="X93" s="204">
        <f t="shared" si="26"/>
        <v>0</v>
      </c>
      <c r="Y93" s="2"/>
      <c r="Z93" s="2"/>
      <c r="AA93" s="2"/>
      <c r="AB93" s="2"/>
      <c r="AC93" s="2"/>
      <c r="AD93" s="2"/>
      <c r="AE93" s="218">
        <f t="shared" si="27"/>
        <v>0</v>
      </c>
      <c r="AF93" s="2"/>
      <c r="AG93" s="207">
        <f t="shared" si="28"/>
        <v>0</v>
      </c>
      <c r="AH93" s="2"/>
      <c r="AI93" s="14">
        <v>0</v>
      </c>
      <c r="AJ93" s="205">
        <f t="shared" si="29"/>
        <v>0</v>
      </c>
      <c r="AK93" s="2"/>
      <c r="AL93" s="2"/>
      <c r="AM93" s="206">
        <f t="shared" si="30"/>
        <v>0</v>
      </c>
      <c r="AN93" s="206">
        <f t="shared" si="31"/>
        <v>0</v>
      </c>
      <c r="AO93" s="3"/>
      <c r="AP93" s="2"/>
      <c r="AQ93" s="204">
        <v>4.9000000000000004</v>
      </c>
      <c r="AR93" s="2"/>
      <c r="AS93" s="203">
        <f t="shared" si="32"/>
        <v>0.73469387755102034</v>
      </c>
      <c r="AT93" s="2"/>
      <c r="AU93" s="203">
        <f t="shared" si="33"/>
        <v>0.2040816326530612</v>
      </c>
      <c r="AV93" s="4"/>
      <c r="AW93" s="203">
        <f t="shared" si="34"/>
        <v>0</v>
      </c>
      <c r="AX93" s="3">
        <v>77</v>
      </c>
      <c r="AY93" s="2"/>
      <c r="AZ93" s="2"/>
    </row>
    <row r="94" spans="1:52" ht="19" customHeight="1">
      <c r="A94" s="1" t="s">
        <v>570</v>
      </c>
      <c r="B94" s="2" t="str">
        <f t="shared" si="20"/>
        <v>Lenzen</v>
      </c>
      <c r="C94" s="2">
        <v>2004</v>
      </c>
      <c r="D94" s="2"/>
      <c r="E94" s="11">
        <f t="shared" si="21"/>
        <v>2004</v>
      </c>
      <c r="F94" s="12">
        <f>LOOKUP(E94,Total_wind_installed_capacity!$A$3:$A$28,Total_wind_installed_capacity!$H$3:$H$28)</f>
        <v>46.3964675</v>
      </c>
      <c r="G94" s="3" t="s">
        <v>74</v>
      </c>
      <c r="H94" s="2" t="s">
        <v>33</v>
      </c>
      <c r="I94" s="3" t="s">
        <v>378</v>
      </c>
      <c r="J94" s="2">
        <v>500</v>
      </c>
      <c r="K94" s="2">
        <v>1</v>
      </c>
      <c r="L94" s="2">
        <f t="shared" si="22"/>
        <v>500</v>
      </c>
      <c r="M94" s="3" t="s">
        <v>373</v>
      </c>
      <c r="N94" s="2" t="s">
        <v>348</v>
      </c>
      <c r="O94" s="2">
        <v>40.299999999999997</v>
      </c>
      <c r="P94" s="2">
        <v>44</v>
      </c>
      <c r="Q94" s="2" t="s">
        <v>356</v>
      </c>
      <c r="R94" s="222">
        <f t="shared" si="23"/>
        <v>0</v>
      </c>
      <c r="S94" s="2"/>
      <c r="T94" s="206">
        <f t="shared" si="24"/>
        <v>0</v>
      </c>
      <c r="U94" s="2"/>
      <c r="V94" s="204">
        <f t="shared" si="25"/>
        <v>0</v>
      </c>
      <c r="W94" s="2"/>
      <c r="X94" s="204">
        <f t="shared" si="26"/>
        <v>0</v>
      </c>
      <c r="Y94" s="2"/>
      <c r="Z94" s="2"/>
      <c r="AA94" s="2"/>
      <c r="AB94" s="2"/>
      <c r="AC94" s="2"/>
      <c r="AD94" s="2"/>
      <c r="AE94" s="218">
        <f t="shared" si="27"/>
        <v>0</v>
      </c>
      <c r="AF94" s="2"/>
      <c r="AG94" s="207">
        <f t="shared" si="28"/>
        <v>0</v>
      </c>
      <c r="AH94" s="2"/>
      <c r="AI94" s="14">
        <v>0</v>
      </c>
      <c r="AJ94" s="205">
        <f t="shared" si="29"/>
        <v>0</v>
      </c>
      <c r="AK94" s="2"/>
      <c r="AL94" s="2"/>
      <c r="AM94" s="206">
        <f t="shared" si="30"/>
        <v>0</v>
      </c>
      <c r="AN94" s="206">
        <f t="shared" si="31"/>
        <v>0</v>
      </c>
      <c r="AO94" s="3"/>
      <c r="AP94" s="2"/>
      <c r="AQ94" s="204">
        <v>22.5</v>
      </c>
      <c r="AR94" s="2"/>
      <c r="AS94" s="203">
        <f t="shared" si="32"/>
        <v>0.16</v>
      </c>
      <c r="AT94" s="2"/>
      <c r="AU94" s="203">
        <f t="shared" si="33"/>
        <v>4.4444444444444446E-2</v>
      </c>
      <c r="AV94" s="4"/>
      <c r="AW94" s="203">
        <f t="shared" si="34"/>
        <v>0</v>
      </c>
      <c r="AX94" s="3">
        <v>15</v>
      </c>
      <c r="AY94" s="2"/>
      <c r="AZ94" s="2"/>
    </row>
    <row r="95" spans="1:52" ht="19" customHeight="1">
      <c r="A95" s="1" t="s">
        <v>570</v>
      </c>
      <c r="B95" s="2" t="str">
        <f t="shared" si="20"/>
        <v>Lenzen</v>
      </c>
      <c r="C95" s="2">
        <v>2004</v>
      </c>
      <c r="D95" s="2"/>
      <c r="E95" s="11">
        <f t="shared" si="21"/>
        <v>2004</v>
      </c>
      <c r="F95" s="12">
        <f>LOOKUP(E95,Total_wind_installed_capacity!$A$3:$A$28,Total_wind_installed_capacity!$H$3:$H$28)</f>
        <v>46.3964675</v>
      </c>
      <c r="G95" s="3" t="s">
        <v>74</v>
      </c>
      <c r="H95" s="2" t="s">
        <v>33</v>
      </c>
      <c r="I95" s="3" t="s">
        <v>378</v>
      </c>
      <c r="J95" s="2">
        <v>500</v>
      </c>
      <c r="K95" s="2">
        <v>1</v>
      </c>
      <c r="L95" s="2">
        <f t="shared" si="22"/>
        <v>500</v>
      </c>
      <c r="M95" s="3" t="s">
        <v>373</v>
      </c>
      <c r="N95" s="2" t="s">
        <v>348</v>
      </c>
      <c r="O95" s="2">
        <v>40.299999999999997</v>
      </c>
      <c r="P95" s="2">
        <v>55</v>
      </c>
      <c r="Q95" s="2" t="s">
        <v>356</v>
      </c>
      <c r="R95" s="222">
        <f t="shared" si="23"/>
        <v>0</v>
      </c>
      <c r="S95" s="2"/>
      <c r="T95" s="206">
        <f t="shared" si="24"/>
        <v>0</v>
      </c>
      <c r="U95" s="2"/>
      <c r="V95" s="204">
        <f t="shared" si="25"/>
        <v>0</v>
      </c>
      <c r="W95" s="2"/>
      <c r="X95" s="204">
        <f t="shared" si="26"/>
        <v>0</v>
      </c>
      <c r="Y95" s="2"/>
      <c r="Z95" s="2"/>
      <c r="AA95" s="2"/>
      <c r="AB95" s="2"/>
      <c r="AC95" s="2"/>
      <c r="AD95" s="2"/>
      <c r="AE95" s="218">
        <f t="shared" si="27"/>
        <v>0</v>
      </c>
      <c r="AF95" s="2"/>
      <c r="AG95" s="207">
        <f t="shared" si="28"/>
        <v>0</v>
      </c>
      <c r="AH95" s="2"/>
      <c r="AI95" s="14">
        <v>0</v>
      </c>
      <c r="AJ95" s="205">
        <f t="shared" si="29"/>
        <v>0</v>
      </c>
      <c r="AK95" s="2"/>
      <c r="AL95" s="2"/>
      <c r="AM95" s="206">
        <f t="shared" si="30"/>
        <v>0</v>
      </c>
      <c r="AN95" s="206">
        <f t="shared" si="31"/>
        <v>0</v>
      </c>
      <c r="AO95" s="3"/>
      <c r="AP95" s="2"/>
      <c r="AQ95" s="204">
        <v>21.2</v>
      </c>
      <c r="AR95" s="2"/>
      <c r="AS95" s="203">
        <f t="shared" si="32"/>
        <v>0.169811320754717</v>
      </c>
      <c r="AT95" s="2"/>
      <c r="AU95" s="203">
        <f t="shared" si="33"/>
        <v>4.716981132075472E-2</v>
      </c>
      <c r="AV95" s="4"/>
      <c r="AW95" s="203">
        <f t="shared" si="34"/>
        <v>0</v>
      </c>
      <c r="AX95" s="3">
        <v>16</v>
      </c>
      <c r="AY95" s="2"/>
      <c r="AZ95" s="2"/>
    </row>
    <row r="96" spans="1:52" ht="19" customHeight="1">
      <c r="A96" s="1" t="s">
        <v>570</v>
      </c>
      <c r="B96" s="2" t="str">
        <f t="shared" si="20"/>
        <v>Lenzen</v>
      </c>
      <c r="C96" s="2">
        <v>2004</v>
      </c>
      <c r="D96" s="2"/>
      <c r="E96" s="11">
        <f t="shared" si="21"/>
        <v>2004</v>
      </c>
      <c r="F96" s="12">
        <f>LOOKUP(E96,Total_wind_installed_capacity!$A$3:$A$28,Total_wind_installed_capacity!$H$3:$H$28)</f>
        <v>46.3964675</v>
      </c>
      <c r="G96" s="3" t="s">
        <v>74</v>
      </c>
      <c r="H96" s="2" t="s">
        <v>33</v>
      </c>
      <c r="I96" s="3" t="s">
        <v>378</v>
      </c>
      <c r="J96" s="2">
        <v>500</v>
      </c>
      <c r="K96" s="2">
        <v>1</v>
      </c>
      <c r="L96" s="2">
        <f t="shared" si="22"/>
        <v>500</v>
      </c>
      <c r="M96" s="3" t="s">
        <v>373</v>
      </c>
      <c r="N96" s="2" t="s">
        <v>348</v>
      </c>
      <c r="O96" s="2">
        <v>40.299999999999997</v>
      </c>
      <c r="P96" s="2">
        <v>55</v>
      </c>
      <c r="Q96" s="2" t="s">
        <v>356</v>
      </c>
      <c r="R96" s="222">
        <f t="shared" si="23"/>
        <v>0</v>
      </c>
      <c r="S96" s="2"/>
      <c r="T96" s="206">
        <f t="shared" si="24"/>
        <v>0</v>
      </c>
      <c r="U96" s="2"/>
      <c r="V96" s="204">
        <f t="shared" si="25"/>
        <v>0</v>
      </c>
      <c r="W96" s="2"/>
      <c r="X96" s="204">
        <f t="shared" si="26"/>
        <v>0</v>
      </c>
      <c r="Y96" s="2"/>
      <c r="Z96" s="2"/>
      <c r="AA96" s="2"/>
      <c r="AB96" s="2"/>
      <c r="AC96" s="2"/>
      <c r="AD96" s="2"/>
      <c r="AE96" s="218">
        <f t="shared" si="27"/>
        <v>0</v>
      </c>
      <c r="AF96" s="2"/>
      <c r="AG96" s="207">
        <f t="shared" si="28"/>
        <v>0</v>
      </c>
      <c r="AH96" s="2"/>
      <c r="AI96" s="14">
        <v>0</v>
      </c>
      <c r="AJ96" s="205">
        <f t="shared" si="29"/>
        <v>0</v>
      </c>
      <c r="AK96" s="2"/>
      <c r="AL96" s="2"/>
      <c r="AM96" s="206">
        <f t="shared" si="30"/>
        <v>0</v>
      </c>
      <c r="AN96" s="206">
        <f t="shared" si="31"/>
        <v>0</v>
      </c>
      <c r="AO96" s="3"/>
      <c r="AP96" s="2"/>
      <c r="AQ96" s="204">
        <v>16.399999999999999</v>
      </c>
      <c r="AR96" s="2"/>
      <c r="AS96" s="203">
        <f t="shared" si="32"/>
        <v>0.21951219512195125</v>
      </c>
      <c r="AT96" s="2"/>
      <c r="AU96" s="203">
        <f t="shared" si="33"/>
        <v>6.0975609756097567E-2</v>
      </c>
      <c r="AV96" s="4"/>
      <c r="AW96" s="203">
        <f t="shared" si="34"/>
        <v>0</v>
      </c>
      <c r="AX96" s="3">
        <v>20</v>
      </c>
      <c r="AY96" s="2"/>
      <c r="AZ96" s="2"/>
    </row>
    <row r="97" spans="1:52" ht="19" customHeight="1">
      <c r="A97" s="1" t="s">
        <v>570</v>
      </c>
      <c r="B97" s="2" t="str">
        <f t="shared" si="20"/>
        <v>Lenzen</v>
      </c>
      <c r="C97" s="2">
        <v>2004</v>
      </c>
      <c r="D97" s="2"/>
      <c r="E97" s="11">
        <f t="shared" si="21"/>
        <v>2004</v>
      </c>
      <c r="F97" s="12">
        <f>LOOKUP(E97,Total_wind_installed_capacity!$A$3:$A$28,Total_wind_installed_capacity!$H$3:$H$28)</f>
        <v>46.3964675</v>
      </c>
      <c r="G97" s="3" t="s">
        <v>74</v>
      </c>
      <c r="H97" s="2" t="s">
        <v>33</v>
      </c>
      <c r="I97" s="3" t="s">
        <v>378</v>
      </c>
      <c r="J97" s="2">
        <v>500</v>
      </c>
      <c r="K97" s="2">
        <v>1</v>
      </c>
      <c r="L97" s="2">
        <f t="shared" si="22"/>
        <v>500</v>
      </c>
      <c r="M97" s="3" t="s">
        <v>373</v>
      </c>
      <c r="N97" s="2" t="s">
        <v>348</v>
      </c>
      <c r="O97" s="2">
        <v>40.299999999999997</v>
      </c>
      <c r="P97" s="2">
        <v>55</v>
      </c>
      <c r="Q97" s="2" t="s">
        <v>356</v>
      </c>
      <c r="R97" s="222">
        <f t="shared" si="23"/>
        <v>0</v>
      </c>
      <c r="S97" s="2"/>
      <c r="T97" s="206">
        <f t="shared" si="24"/>
        <v>0</v>
      </c>
      <c r="U97" s="2"/>
      <c r="V97" s="204">
        <f t="shared" si="25"/>
        <v>0</v>
      </c>
      <c r="W97" s="2"/>
      <c r="X97" s="204">
        <f t="shared" si="26"/>
        <v>0</v>
      </c>
      <c r="Y97" s="2"/>
      <c r="Z97" s="2"/>
      <c r="AA97" s="2"/>
      <c r="AB97" s="2"/>
      <c r="AC97" s="2"/>
      <c r="AD97" s="2"/>
      <c r="AE97" s="218">
        <f t="shared" si="27"/>
        <v>0</v>
      </c>
      <c r="AF97" s="2"/>
      <c r="AG97" s="207">
        <f t="shared" si="28"/>
        <v>0</v>
      </c>
      <c r="AH97" s="2"/>
      <c r="AI97" s="14">
        <v>0</v>
      </c>
      <c r="AJ97" s="205">
        <f t="shared" si="29"/>
        <v>0</v>
      </c>
      <c r="AK97" s="2"/>
      <c r="AL97" s="2"/>
      <c r="AM97" s="206">
        <f t="shared" si="30"/>
        <v>0</v>
      </c>
      <c r="AN97" s="206">
        <f t="shared" si="31"/>
        <v>0</v>
      </c>
      <c r="AO97" s="3"/>
      <c r="AP97" s="2"/>
      <c r="AQ97" s="204">
        <v>12</v>
      </c>
      <c r="AR97" s="2"/>
      <c r="AS97" s="203">
        <f t="shared" si="32"/>
        <v>0.3</v>
      </c>
      <c r="AT97" s="2"/>
      <c r="AU97" s="203">
        <f t="shared" si="33"/>
        <v>8.3333333333333329E-2</v>
      </c>
      <c r="AV97" s="4"/>
      <c r="AW97" s="203">
        <f t="shared" si="34"/>
        <v>0</v>
      </c>
      <c r="AX97" s="3">
        <v>27</v>
      </c>
      <c r="AY97" s="2"/>
      <c r="AZ97" s="2"/>
    </row>
    <row r="98" spans="1:52" ht="19" customHeight="1">
      <c r="A98" s="1" t="s">
        <v>570</v>
      </c>
      <c r="B98" s="2" t="str">
        <f t="shared" si="20"/>
        <v>Lenzen</v>
      </c>
      <c r="C98" s="2">
        <v>2004</v>
      </c>
      <c r="D98" s="2"/>
      <c r="E98" s="11">
        <f t="shared" si="21"/>
        <v>2004</v>
      </c>
      <c r="F98" s="12">
        <f>LOOKUP(E98,Total_wind_installed_capacity!$A$3:$A$28,Total_wind_installed_capacity!$H$3:$H$28)</f>
        <v>46.3964675</v>
      </c>
      <c r="G98" s="3" t="s">
        <v>74</v>
      </c>
      <c r="H98" s="2" t="s">
        <v>33</v>
      </c>
      <c r="I98" s="3" t="s">
        <v>378</v>
      </c>
      <c r="J98" s="2">
        <v>500</v>
      </c>
      <c r="K98" s="2">
        <v>1</v>
      </c>
      <c r="L98" s="2">
        <f t="shared" si="22"/>
        <v>500</v>
      </c>
      <c r="M98" s="3" t="s">
        <v>373</v>
      </c>
      <c r="N98" s="2" t="s">
        <v>348</v>
      </c>
      <c r="O98" s="2">
        <v>40.299999999999997</v>
      </c>
      <c r="P98" s="2">
        <v>65</v>
      </c>
      <c r="Q98" s="2" t="s">
        <v>356</v>
      </c>
      <c r="R98" s="222">
        <f t="shared" si="23"/>
        <v>0</v>
      </c>
      <c r="S98" s="2"/>
      <c r="T98" s="206">
        <f t="shared" si="24"/>
        <v>0</v>
      </c>
      <c r="U98" s="2"/>
      <c r="V98" s="204">
        <f t="shared" si="25"/>
        <v>0</v>
      </c>
      <c r="W98" s="2"/>
      <c r="X98" s="204">
        <f t="shared" si="26"/>
        <v>0</v>
      </c>
      <c r="Y98" s="2"/>
      <c r="Z98" s="2"/>
      <c r="AA98" s="2"/>
      <c r="AB98" s="2"/>
      <c r="AC98" s="2"/>
      <c r="AD98" s="2"/>
      <c r="AE98" s="218">
        <f t="shared" si="27"/>
        <v>0</v>
      </c>
      <c r="AF98" s="2"/>
      <c r="AG98" s="207">
        <f t="shared" si="28"/>
        <v>0</v>
      </c>
      <c r="AH98" s="2"/>
      <c r="AI98" s="14">
        <v>0</v>
      </c>
      <c r="AJ98" s="205">
        <f t="shared" si="29"/>
        <v>0</v>
      </c>
      <c r="AK98" s="2"/>
      <c r="AL98" s="2"/>
      <c r="AM98" s="206">
        <f t="shared" si="30"/>
        <v>0</v>
      </c>
      <c r="AN98" s="206">
        <f t="shared" si="31"/>
        <v>0</v>
      </c>
      <c r="AO98" s="3"/>
      <c r="AP98" s="2"/>
      <c r="AQ98" s="204">
        <v>12.4</v>
      </c>
      <c r="AR98" s="2"/>
      <c r="AS98" s="203">
        <f t="shared" si="32"/>
        <v>0.29032258064516131</v>
      </c>
      <c r="AT98" s="2"/>
      <c r="AU98" s="203">
        <f t="shared" si="33"/>
        <v>8.0645161290322578E-2</v>
      </c>
      <c r="AV98" s="4"/>
      <c r="AW98" s="203">
        <f t="shared" si="34"/>
        <v>0</v>
      </c>
      <c r="AX98" s="3">
        <v>26</v>
      </c>
      <c r="AY98" s="2"/>
      <c r="AZ98" s="2"/>
    </row>
    <row r="99" spans="1:52" ht="19" customHeight="1">
      <c r="A99" s="1" t="s">
        <v>570</v>
      </c>
      <c r="B99" s="2" t="str">
        <f t="shared" si="20"/>
        <v>Lenzen</v>
      </c>
      <c r="C99" s="2">
        <v>2004</v>
      </c>
      <c r="D99" s="2"/>
      <c r="E99" s="11">
        <f t="shared" si="21"/>
        <v>2004</v>
      </c>
      <c r="F99" s="12">
        <f>LOOKUP(E99,Total_wind_installed_capacity!$A$3:$A$28,Total_wind_installed_capacity!$H$3:$H$28)</f>
        <v>46.3964675</v>
      </c>
      <c r="G99" s="3" t="s">
        <v>74</v>
      </c>
      <c r="H99" s="2" t="s">
        <v>33</v>
      </c>
      <c r="I99" s="3" t="s">
        <v>378</v>
      </c>
      <c r="J99" s="2">
        <v>500</v>
      </c>
      <c r="K99" s="2">
        <v>1</v>
      </c>
      <c r="L99" s="2">
        <f t="shared" si="22"/>
        <v>500</v>
      </c>
      <c r="M99" s="3" t="s">
        <v>373</v>
      </c>
      <c r="N99" s="2" t="s">
        <v>348</v>
      </c>
      <c r="O99" s="2">
        <v>40.299999999999997</v>
      </c>
      <c r="P99" s="2">
        <v>44</v>
      </c>
      <c r="Q99" s="2" t="s">
        <v>356</v>
      </c>
      <c r="R99" s="222">
        <f t="shared" si="23"/>
        <v>0</v>
      </c>
      <c r="S99" s="2"/>
      <c r="T99" s="206">
        <f t="shared" si="24"/>
        <v>0</v>
      </c>
      <c r="U99" s="2"/>
      <c r="V99" s="204">
        <f t="shared" si="25"/>
        <v>0</v>
      </c>
      <c r="W99" s="2"/>
      <c r="X99" s="204">
        <f t="shared" si="26"/>
        <v>0</v>
      </c>
      <c r="Y99" s="2"/>
      <c r="Z99" s="2"/>
      <c r="AA99" s="2"/>
      <c r="AB99" s="2"/>
      <c r="AC99" s="2"/>
      <c r="AD99" s="2"/>
      <c r="AE99" s="218">
        <f t="shared" si="27"/>
        <v>0</v>
      </c>
      <c r="AF99" s="2"/>
      <c r="AG99" s="207">
        <f t="shared" si="28"/>
        <v>0</v>
      </c>
      <c r="AH99" s="2"/>
      <c r="AI99" s="14">
        <v>0</v>
      </c>
      <c r="AJ99" s="205">
        <f t="shared" si="29"/>
        <v>0</v>
      </c>
      <c r="AK99" s="2"/>
      <c r="AL99" s="2"/>
      <c r="AM99" s="206">
        <f t="shared" si="30"/>
        <v>0</v>
      </c>
      <c r="AN99" s="206">
        <f t="shared" si="31"/>
        <v>0</v>
      </c>
      <c r="AO99" s="3"/>
      <c r="AP99" s="2"/>
      <c r="AQ99" s="204">
        <v>27.7</v>
      </c>
      <c r="AR99" s="2"/>
      <c r="AS99" s="203">
        <f t="shared" si="32"/>
        <v>0.12996389891696752</v>
      </c>
      <c r="AT99" s="2"/>
      <c r="AU99" s="203">
        <f t="shared" si="33"/>
        <v>3.6101083032490974E-2</v>
      </c>
      <c r="AV99" s="4"/>
      <c r="AW99" s="203">
        <f t="shared" si="34"/>
        <v>0</v>
      </c>
      <c r="AX99" s="3">
        <v>8</v>
      </c>
      <c r="AY99" s="2"/>
      <c r="AZ99" s="2"/>
    </row>
    <row r="100" spans="1:52" ht="19" customHeight="1">
      <c r="A100" s="1" t="s">
        <v>570</v>
      </c>
      <c r="B100" s="2" t="str">
        <f t="shared" si="20"/>
        <v>Lenzen</v>
      </c>
      <c r="C100" s="2">
        <v>2004</v>
      </c>
      <c r="D100" s="2"/>
      <c r="E100" s="11">
        <f t="shared" si="21"/>
        <v>2004</v>
      </c>
      <c r="F100" s="12">
        <f>LOOKUP(E100,Total_wind_installed_capacity!$A$3:$A$28,Total_wind_installed_capacity!$H$3:$H$28)</f>
        <v>46.3964675</v>
      </c>
      <c r="G100" s="3" t="s">
        <v>74</v>
      </c>
      <c r="H100" s="2" t="s">
        <v>33</v>
      </c>
      <c r="I100" s="3" t="s">
        <v>378</v>
      </c>
      <c r="J100" s="2">
        <v>500</v>
      </c>
      <c r="K100" s="2">
        <v>1</v>
      </c>
      <c r="L100" s="2">
        <f t="shared" si="22"/>
        <v>500</v>
      </c>
      <c r="M100" s="3" t="s">
        <v>373</v>
      </c>
      <c r="N100" s="2" t="s">
        <v>348</v>
      </c>
      <c r="O100" s="2">
        <v>40.299999999999997</v>
      </c>
      <c r="P100" s="2">
        <v>55</v>
      </c>
      <c r="Q100" s="2" t="s">
        <v>356</v>
      </c>
      <c r="R100" s="222">
        <f t="shared" si="23"/>
        <v>0</v>
      </c>
      <c r="S100" s="2"/>
      <c r="T100" s="206">
        <f t="shared" si="24"/>
        <v>0</v>
      </c>
      <c r="U100" s="2"/>
      <c r="V100" s="204">
        <f t="shared" si="25"/>
        <v>0</v>
      </c>
      <c r="W100" s="2"/>
      <c r="X100" s="204">
        <f t="shared" si="26"/>
        <v>0</v>
      </c>
      <c r="Y100" s="2"/>
      <c r="Z100" s="2"/>
      <c r="AA100" s="2"/>
      <c r="AB100" s="2"/>
      <c r="AC100" s="2"/>
      <c r="AD100" s="2"/>
      <c r="AE100" s="218">
        <f t="shared" si="27"/>
        <v>0</v>
      </c>
      <c r="AF100" s="2"/>
      <c r="AG100" s="207">
        <f t="shared" si="28"/>
        <v>0</v>
      </c>
      <c r="AH100" s="2"/>
      <c r="AI100" s="14">
        <v>0</v>
      </c>
      <c r="AJ100" s="205">
        <f t="shared" si="29"/>
        <v>0</v>
      </c>
      <c r="AK100" s="2"/>
      <c r="AL100" s="2"/>
      <c r="AM100" s="206">
        <f t="shared" si="30"/>
        <v>0</v>
      </c>
      <c r="AN100" s="206">
        <f t="shared" si="31"/>
        <v>0</v>
      </c>
      <c r="AO100" s="3"/>
      <c r="AP100" s="2"/>
      <c r="AQ100" s="204">
        <v>25.7</v>
      </c>
      <c r="AR100" s="2"/>
      <c r="AS100" s="203">
        <f t="shared" si="32"/>
        <v>0.14007782101167315</v>
      </c>
      <c r="AT100" s="2"/>
      <c r="AU100" s="203">
        <f t="shared" si="33"/>
        <v>3.8910505836575876E-2</v>
      </c>
      <c r="AV100" s="4"/>
      <c r="AW100" s="203">
        <f t="shared" si="34"/>
        <v>0</v>
      </c>
      <c r="AX100" s="3">
        <v>8</v>
      </c>
      <c r="AY100" s="2"/>
      <c r="AZ100" s="2"/>
    </row>
    <row r="101" spans="1:52" ht="19" customHeight="1">
      <c r="A101" s="1" t="s">
        <v>570</v>
      </c>
      <c r="B101" s="2" t="str">
        <f t="shared" si="20"/>
        <v>Lenzen</v>
      </c>
      <c r="C101" s="2">
        <v>2004</v>
      </c>
      <c r="D101" s="2"/>
      <c r="E101" s="11">
        <f t="shared" si="21"/>
        <v>2004</v>
      </c>
      <c r="F101" s="12">
        <f>LOOKUP(E101,Total_wind_installed_capacity!$A$3:$A$28,Total_wind_installed_capacity!$H$3:$H$28)</f>
        <v>46.3964675</v>
      </c>
      <c r="G101" s="3" t="s">
        <v>74</v>
      </c>
      <c r="H101" s="2" t="s">
        <v>33</v>
      </c>
      <c r="I101" s="3" t="s">
        <v>378</v>
      </c>
      <c r="J101" s="2">
        <v>500</v>
      </c>
      <c r="K101" s="2">
        <v>1</v>
      </c>
      <c r="L101" s="2">
        <f t="shared" si="22"/>
        <v>500</v>
      </c>
      <c r="M101" s="3" t="s">
        <v>373</v>
      </c>
      <c r="N101" s="2" t="s">
        <v>348</v>
      </c>
      <c r="O101" s="2">
        <v>40.299999999999997</v>
      </c>
      <c r="P101" s="2">
        <v>55</v>
      </c>
      <c r="Q101" s="2" t="s">
        <v>356</v>
      </c>
      <c r="R101" s="222">
        <f t="shared" si="23"/>
        <v>0</v>
      </c>
      <c r="S101" s="2"/>
      <c r="T101" s="206">
        <f t="shared" si="24"/>
        <v>0</v>
      </c>
      <c r="U101" s="2"/>
      <c r="V101" s="204">
        <f t="shared" si="25"/>
        <v>0</v>
      </c>
      <c r="W101" s="2"/>
      <c r="X101" s="204">
        <f t="shared" si="26"/>
        <v>0</v>
      </c>
      <c r="Y101" s="2"/>
      <c r="Z101" s="2"/>
      <c r="AA101" s="2"/>
      <c r="AB101" s="2"/>
      <c r="AC101" s="2"/>
      <c r="AD101" s="2"/>
      <c r="AE101" s="218">
        <f t="shared" si="27"/>
        <v>0</v>
      </c>
      <c r="AF101" s="2"/>
      <c r="AG101" s="207">
        <f t="shared" si="28"/>
        <v>0</v>
      </c>
      <c r="AH101" s="2"/>
      <c r="AI101" s="14">
        <v>0</v>
      </c>
      <c r="AJ101" s="205">
        <f t="shared" si="29"/>
        <v>0</v>
      </c>
      <c r="AK101" s="2"/>
      <c r="AL101" s="2"/>
      <c r="AM101" s="206">
        <f t="shared" si="30"/>
        <v>0</v>
      </c>
      <c r="AN101" s="206">
        <f t="shared" si="31"/>
        <v>0</v>
      </c>
      <c r="AO101" s="3"/>
      <c r="AP101" s="2"/>
      <c r="AQ101" s="204">
        <v>20</v>
      </c>
      <c r="AR101" s="2"/>
      <c r="AS101" s="203">
        <f t="shared" si="32"/>
        <v>0.18000000000000002</v>
      </c>
      <c r="AT101" s="2"/>
      <c r="AU101" s="203">
        <f t="shared" si="33"/>
        <v>0.05</v>
      </c>
      <c r="AV101" s="4"/>
      <c r="AW101" s="203">
        <f t="shared" si="34"/>
        <v>0</v>
      </c>
      <c r="AX101" s="3">
        <v>10</v>
      </c>
      <c r="AY101" s="2"/>
      <c r="AZ101" s="2"/>
    </row>
    <row r="102" spans="1:52" ht="19" customHeight="1">
      <c r="A102" s="1" t="s">
        <v>570</v>
      </c>
      <c r="B102" s="2" t="str">
        <f t="shared" si="20"/>
        <v>Lenzen</v>
      </c>
      <c r="C102" s="2">
        <v>2004</v>
      </c>
      <c r="D102" s="2"/>
      <c r="E102" s="11">
        <f t="shared" si="21"/>
        <v>2004</v>
      </c>
      <c r="F102" s="12">
        <f>LOOKUP(E102,Total_wind_installed_capacity!$A$3:$A$28,Total_wind_installed_capacity!$H$3:$H$28)</f>
        <v>46.3964675</v>
      </c>
      <c r="G102" s="3" t="s">
        <v>74</v>
      </c>
      <c r="H102" s="2" t="s">
        <v>33</v>
      </c>
      <c r="I102" s="3" t="s">
        <v>378</v>
      </c>
      <c r="J102" s="2">
        <v>500</v>
      </c>
      <c r="K102" s="2">
        <v>1</v>
      </c>
      <c r="L102" s="2">
        <f t="shared" si="22"/>
        <v>500</v>
      </c>
      <c r="M102" s="3" t="s">
        <v>373</v>
      </c>
      <c r="N102" s="2" t="s">
        <v>348</v>
      </c>
      <c r="O102" s="2">
        <v>40.299999999999997</v>
      </c>
      <c r="P102" s="2">
        <v>55</v>
      </c>
      <c r="Q102" s="2" t="s">
        <v>356</v>
      </c>
      <c r="R102" s="222">
        <f t="shared" si="23"/>
        <v>0</v>
      </c>
      <c r="S102" s="2"/>
      <c r="T102" s="206">
        <f t="shared" si="24"/>
        <v>0</v>
      </c>
      <c r="U102" s="2"/>
      <c r="V102" s="204">
        <f t="shared" si="25"/>
        <v>0</v>
      </c>
      <c r="W102" s="2"/>
      <c r="X102" s="204">
        <f t="shared" si="26"/>
        <v>0</v>
      </c>
      <c r="Y102" s="2"/>
      <c r="Z102" s="2"/>
      <c r="AA102" s="2"/>
      <c r="AB102" s="2"/>
      <c r="AC102" s="2"/>
      <c r="AD102" s="2"/>
      <c r="AE102" s="218">
        <f t="shared" si="27"/>
        <v>0</v>
      </c>
      <c r="AF102" s="2"/>
      <c r="AG102" s="207">
        <f t="shared" si="28"/>
        <v>0</v>
      </c>
      <c r="AH102" s="2"/>
      <c r="AI102" s="14">
        <v>0</v>
      </c>
      <c r="AJ102" s="205">
        <f t="shared" si="29"/>
        <v>0</v>
      </c>
      <c r="AK102" s="2"/>
      <c r="AL102" s="2"/>
      <c r="AM102" s="206">
        <f t="shared" si="30"/>
        <v>0</v>
      </c>
      <c r="AN102" s="206">
        <f t="shared" si="31"/>
        <v>0</v>
      </c>
      <c r="AO102" s="3"/>
      <c r="AP102" s="2"/>
      <c r="AQ102" s="204">
        <v>15.6</v>
      </c>
      <c r="AR102" s="2"/>
      <c r="AS102" s="203">
        <f t="shared" si="32"/>
        <v>0.23076923076923081</v>
      </c>
      <c r="AT102" s="2"/>
      <c r="AU102" s="203">
        <f t="shared" si="33"/>
        <v>6.4102564102564111E-2</v>
      </c>
      <c r="AV102" s="4"/>
      <c r="AW102" s="203">
        <f t="shared" si="34"/>
        <v>0</v>
      </c>
      <c r="AX102" s="3">
        <v>13</v>
      </c>
      <c r="AY102" s="2"/>
      <c r="AZ102" s="2"/>
    </row>
    <row r="103" spans="1:52" ht="19" customHeight="1">
      <c r="A103" s="1" t="s">
        <v>570</v>
      </c>
      <c r="B103" s="2" t="str">
        <f t="shared" si="20"/>
        <v>Lenzen</v>
      </c>
      <c r="C103" s="2">
        <v>2004</v>
      </c>
      <c r="D103" s="2"/>
      <c r="E103" s="11">
        <f t="shared" si="21"/>
        <v>2004</v>
      </c>
      <c r="F103" s="12">
        <f>LOOKUP(E103,Total_wind_installed_capacity!$A$3:$A$28,Total_wind_installed_capacity!$H$3:$H$28)</f>
        <v>46.3964675</v>
      </c>
      <c r="G103" s="3" t="s">
        <v>74</v>
      </c>
      <c r="H103" s="2" t="s">
        <v>33</v>
      </c>
      <c r="I103" s="3" t="s">
        <v>378</v>
      </c>
      <c r="J103" s="2">
        <v>500</v>
      </c>
      <c r="K103" s="2">
        <v>1</v>
      </c>
      <c r="L103" s="2">
        <f t="shared" si="22"/>
        <v>500</v>
      </c>
      <c r="M103" s="3" t="s">
        <v>373</v>
      </c>
      <c r="N103" s="2" t="s">
        <v>348</v>
      </c>
      <c r="O103" s="2">
        <v>40.299999999999997</v>
      </c>
      <c r="P103" s="2">
        <v>65</v>
      </c>
      <c r="Q103" s="2" t="s">
        <v>356</v>
      </c>
      <c r="R103" s="222">
        <f t="shared" si="23"/>
        <v>0</v>
      </c>
      <c r="S103" s="2"/>
      <c r="T103" s="206">
        <f t="shared" si="24"/>
        <v>0</v>
      </c>
      <c r="U103" s="2"/>
      <c r="V103" s="204">
        <f t="shared" si="25"/>
        <v>0</v>
      </c>
      <c r="W103" s="2"/>
      <c r="X103" s="204">
        <f t="shared" si="26"/>
        <v>0</v>
      </c>
      <c r="Y103" s="2"/>
      <c r="Z103" s="2"/>
      <c r="AA103" s="2"/>
      <c r="AB103" s="2"/>
      <c r="AC103" s="2"/>
      <c r="AD103" s="2"/>
      <c r="AE103" s="218">
        <f t="shared" si="27"/>
        <v>0</v>
      </c>
      <c r="AF103" s="2"/>
      <c r="AG103" s="207">
        <f t="shared" si="28"/>
        <v>0</v>
      </c>
      <c r="AH103" s="2"/>
      <c r="AI103" s="14">
        <v>0</v>
      </c>
      <c r="AJ103" s="205">
        <f t="shared" si="29"/>
        <v>0</v>
      </c>
      <c r="AK103" s="2"/>
      <c r="AL103" s="2"/>
      <c r="AM103" s="206">
        <f t="shared" si="30"/>
        <v>0</v>
      </c>
      <c r="AN103" s="206">
        <f t="shared" si="31"/>
        <v>0</v>
      </c>
      <c r="AO103" s="3"/>
      <c r="AP103" s="2"/>
      <c r="AQ103" s="204">
        <v>16.399999999999999</v>
      </c>
      <c r="AR103" s="2"/>
      <c r="AS103" s="203">
        <f t="shared" si="32"/>
        <v>0.21951219512195125</v>
      </c>
      <c r="AT103" s="2"/>
      <c r="AU103" s="203">
        <f t="shared" si="33"/>
        <v>6.0975609756097567E-2</v>
      </c>
      <c r="AV103" s="4"/>
      <c r="AW103" s="203">
        <f t="shared" si="34"/>
        <v>0</v>
      </c>
      <c r="AX103" s="3">
        <v>12</v>
      </c>
      <c r="AY103" s="2"/>
      <c r="AZ103" s="2"/>
    </row>
    <row r="104" spans="1:52" ht="19" customHeight="1">
      <c r="A104" s="1" t="s">
        <v>570</v>
      </c>
      <c r="B104" s="2" t="str">
        <f t="shared" si="20"/>
        <v>Lenzen</v>
      </c>
      <c r="C104" s="2">
        <v>2004</v>
      </c>
      <c r="D104" s="2"/>
      <c r="E104" s="11">
        <f t="shared" si="21"/>
        <v>2004</v>
      </c>
      <c r="F104" s="12">
        <f>LOOKUP(E104,Total_wind_installed_capacity!$A$3:$A$28,Total_wind_installed_capacity!$H$3:$H$28)</f>
        <v>46.3964675</v>
      </c>
      <c r="G104" s="3" t="s">
        <v>74</v>
      </c>
      <c r="H104" s="2" t="s">
        <v>33</v>
      </c>
      <c r="I104" s="3" t="s">
        <v>266</v>
      </c>
      <c r="J104" s="2">
        <v>500</v>
      </c>
      <c r="K104" s="2">
        <v>1</v>
      </c>
      <c r="L104" s="2">
        <f t="shared" si="22"/>
        <v>500</v>
      </c>
      <c r="M104" s="3" t="s">
        <v>373</v>
      </c>
      <c r="N104" s="2" t="s">
        <v>348</v>
      </c>
      <c r="O104" s="2">
        <v>40.299999999999997</v>
      </c>
      <c r="P104" s="2">
        <v>44</v>
      </c>
      <c r="Q104" s="2" t="s">
        <v>356</v>
      </c>
      <c r="R104" s="222">
        <f t="shared" si="23"/>
        <v>0</v>
      </c>
      <c r="S104" s="2"/>
      <c r="T104" s="206">
        <f t="shared" si="24"/>
        <v>0</v>
      </c>
      <c r="U104" s="2"/>
      <c r="V104" s="204">
        <f t="shared" si="25"/>
        <v>0</v>
      </c>
      <c r="W104" s="2"/>
      <c r="X104" s="204">
        <f t="shared" si="26"/>
        <v>0</v>
      </c>
      <c r="Y104" s="2"/>
      <c r="Z104" s="2"/>
      <c r="AA104" s="2"/>
      <c r="AB104" s="2"/>
      <c r="AC104" s="2"/>
      <c r="AD104" s="2"/>
      <c r="AE104" s="218">
        <f t="shared" si="27"/>
        <v>0</v>
      </c>
      <c r="AF104" s="2"/>
      <c r="AG104" s="207">
        <f t="shared" si="28"/>
        <v>0</v>
      </c>
      <c r="AH104" s="2"/>
      <c r="AI104" s="14">
        <v>0</v>
      </c>
      <c r="AJ104" s="205">
        <f t="shared" si="29"/>
        <v>0</v>
      </c>
      <c r="AK104" s="2"/>
      <c r="AL104" s="2"/>
      <c r="AM104" s="206">
        <f t="shared" si="30"/>
        <v>0</v>
      </c>
      <c r="AN104" s="206">
        <f t="shared" si="31"/>
        <v>0</v>
      </c>
      <c r="AO104" s="3"/>
      <c r="AP104" s="2"/>
      <c r="AQ104" s="204">
        <v>32.700000000000003</v>
      </c>
      <c r="AR104" s="2"/>
      <c r="AS104" s="203">
        <f t="shared" si="32"/>
        <v>0.11009174311926605</v>
      </c>
      <c r="AT104" s="2"/>
      <c r="AU104" s="203">
        <f t="shared" si="33"/>
        <v>3.0581039755351678E-2</v>
      </c>
      <c r="AV104" s="4"/>
      <c r="AW104" s="203">
        <f t="shared" si="34"/>
        <v>0</v>
      </c>
      <c r="AX104" s="3">
        <v>3</v>
      </c>
      <c r="AY104" s="2"/>
      <c r="AZ104" s="2"/>
    </row>
    <row r="105" spans="1:52" ht="19" customHeight="1">
      <c r="A105" s="1" t="s">
        <v>570</v>
      </c>
      <c r="B105" s="2" t="str">
        <f t="shared" si="20"/>
        <v>Lenzen</v>
      </c>
      <c r="C105" s="2">
        <v>2004</v>
      </c>
      <c r="D105" s="2"/>
      <c r="E105" s="11">
        <f t="shared" si="21"/>
        <v>2004</v>
      </c>
      <c r="F105" s="12">
        <f>LOOKUP(E105,Total_wind_installed_capacity!$A$3:$A$28,Total_wind_installed_capacity!$H$3:$H$28)</f>
        <v>46.3964675</v>
      </c>
      <c r="G105" s="3" t="s">
        <v>74</v>
      </c>
      <c r="H105" s="2" t="s">
        <v>33</v>
      </c>
      <c r="I105" s="3" t="s">
        <v>266</v>
      </c>
      <c r="J105" s="2">
        <v>500</v>
      </c>
      <c r="K105" s="2">
        <v>1</v>
      </c>
      <c r="L105" s="2">
        <f t="shared" si="22"/>
        <v>500</v>
      </c>
      <c r="M105" s="3" t="s">
        <v>373</v>
      </c>
      <c r="N105" s="2" t="s">
        <v>348</v>
      </c>
      <c r="O105" s="2">
        <v>40.299999999999997</v>
      </c>
      <c r="P105" s="2">
        <v>55</v>
      </c>
      <c r="Q105" s="2" t="s">
        <v>356</v>
      </c>
      <c r="R105" s="222">
        <f t="shared" si="23"/>
        <v>0</v>
      </c>
      <c r="S105" s="2"/>
      <c r="T105" s="206">
        <f t="shared" si="24"/>
        <v>0</v>
      </c>
      <c r="U105" s="2"/>
      <c r="V105" s="204">
        <f t="shared" si="25"/>
        <v>0</v>
      </c>
      <c r="W105" s="2"/>
      <c r="X105" s="204">
        <f t="shared" si="26"/>
        <v>0</v>
      </c>
      <c r="Y105" s="2"/>
      <c r="Z105" s="2"/>
      <c r="AA105" s="2"/>
      <c r="AB105" s="2"/>
      <c r="AC105" s="2"/>
      <c r="AD105" s="2"/>
      <c r="AE105" s="218">
        <f t="shared" si="27"/>
        <v>0</v>
      </c>
      <c r="AF105" s="2"/>
      <c r="AG105" s="207">
        <f t="shared" si="28"/>
        <v>0</v>
      </c>
      <c r="AH105" s="2"/>
      <c r="AI105" s="14">
        <v>0</v>
      </c>
      <c r="AJ105" s="205">
        <f t="shared" si="29"/>
        <v>0</v>
      </c>
      <c r="AK105" s="2"/>
      <c r="AL105" s="2"/>
      <c r="AM105" s="206">
        <f t="shared" si="30"/>
        <v>0</v>
      </c>
      <c r="AN105" s="206">
        <f t="shared" si="31"/>
        <v>0</v>
      </c>
      <c r="AO105" s="3"/>
      <c r="AP105" s="2"/>
      <c r="AQ105" s="204">
        <v>30</v>
      </c>
      <c r="AR105" s="2"/>
      <c r="AS105" s="203">
        <f t="shared" si="32"/>
        <v>0.12</v>
      </c>
      <c r="AT105" s="2"/>
      <c r="AU105" s="203">
        <f t="shared" si="33"/>
        <v>3.3333333333333333E-2</v>
      </c>
      <c r="AV105" s="4"/>
      <c r="AW105" s="203">
        <f t="shared" si="34"/>
        <v>0</v>
      </c>
      <c r="AX105" s="3">
        <v>3</v>
      </c>
      <c r="AY105" s="2"/>
      <c r="AZ105" s="2"/>
    </row>
    <row r="106" spans="1:52" ht="19" customHeight="1">
      <c r="A106" s="1" t="s">
        <v>570</v>
      </c>
      <c r="B106" s="2" t="str">
        <f t="shared" si="20"/>
        <v>Lenzen</v>
      </c>
      <c r="C106" s="2">
        <v>2004</v>
      </c>
      <c r="D106" s="2"/>
      <c r="E106" s="11">
        <f t="shared" si="21"/>
        <v>2004</v>
      </c>
      <c r="F106" s="12">
        <f>LOOKUP(E106,Total_wind_installed_capacity!$A$3:$A$28,Total_wind_installed_capacity!$H$3:$H$28)</f>
        <v>46.3964675</v>
      </c>
      <c r="G106" s="3" t="s">
        <v>74</v>
      </c>
      <c r="H106" s="2" t="s">
        <v>33</v>
      </c>
      <c r="I106" s="3" t="s">
        <v>266</v>
      </c>
      <c r="J106" s="2">
        <v>500</v>
      </c>
      <c r="K106" s="2">
        <v>1</v>
      </c>
      <c r="L106" s="2">
        <f t="shared" si="22"/>
        <v>500</v>
      </c>
      <c r="M106" s="3" t="s">
        <v>373</v>
      </c>
      <c r="N106" s="2" t="s">
        <v>348</v>
      </c>
      <c r="O106" s="2">
        <v>40.299999999999997</v>
      </c>
      <c r="P106" s="2">
        <v>55</v>
      </c>
      <c r="Q106" s="2" t="s">
        <v>356</v>
      </c>
      <c r="R106" s="222">
        <f t="shared" si="23"/>
        <v>0</v>
      </c>
      <c r="S106" s="2"/>
      <c r="T106" s="206">
        <f t="shared" si="24"/>
        <v>0</v>
      </c>
      <c r="U106" s="2"/>
      <c r="V106" s="204">
        <f t="shared" si="25"/>
        <v>0</v>
      </c>
      <c r="W106" s="2"/>
      <c r="X106" s="204">
        <f t="shared" si="26"/>
        <v>0</v>
      </c>
      <c r="Y106" s="2"/>
      <c r="Z106" s="2"/>
      <c r="AA106" s="2"/>
      <c r="AB106" s="2"/>
      <c r="AC106" s="2"/>
      <c r="AD106" s="2"/>
      <c r="AE106" s="218">
        <f t="shared" si="27"/>
        <v>0</v>
      </c>
      <c r="AF106" s="2"/>
      <c r="AG106" s="207">
        <f t="shared" si="28"/>
        <v>0</v>
      </c>
      <c r="AH106" s="2"/>
      <c r="AI106" s="14">
        <v>0</v>
      </c>
      <c r="AJ106" s="205">
        <f t="shared" si="29"/>
        <v>0</v>
      </c>
      <c r="AK106" s="2"/>
      <c r="AL106" s="2"/>
      <c r="AM106" s="206">
        <f t="shared" si="30"/>
        <v>0</v>
      </c>
      <c r="AN106" s="206">
        <f t="shared" si="31"/>
        <v>0</v>
      </c>
      <c r="AO106" s="3"/>
      <c r="AP106" s="2"/>
      <c r="AQ106" s="204">
        <v>24</v>
      </c>
      <c r="AR106" s="2"/>
      <c r="AS106" s="203">
        <f t="shared" si="32"/>
        <v>0.15</v>
      </c>
      <c r="AT106" s="2"/>
      <c r="AU106" s="203">
        <f t="shared" si="33"/>
        <v>4.1666666666666664E-2</v>
      </c>
      <c r="AV106" s="4"/>
      <c r="AW106" s="203">
        <f t="shared" si="34"/>
        <v>0</v>
      </c>
      <c r="AX106" s="3">
        <v>3</v>
      </c>
      <c r="AY106" s="2"/>
      <c r="AZ106" s="2"/>
    </row>
    <row r="107" spans="1:52" ht="19" customHeight="1">
      <c r="A107" s="1" t="s">
        <v>570</v>
      </c>
      <c r="B107" s="2" t="str">
        <f t="shared" si="20"/>
        <v>Lenzen</v>
      </c>
      <c r="C107" s="2">
        <v>2004</v>
      </c>
      <c r="D107" s="2"/>
      <c r="E107" s="11">
        <f t="shared" si="21"/>
        <v>2004</v>
      </c>
      <c r="F107" s="12">
        <f>LOOKUP(E107,Total_wind_installed_capacity!$A$3:$A$28,Total_wind_installed_capacity!$H$3:$H$28)</f>
        <v>46.3964675</v>
      </c>
      <c r="G107" s="3" t="s">
        <v>74</v>
      </c>
      <c r="H107" s="2" t="s">
        <v>33</v>
      </c>
      <c r="I107" s="3" t="s">
        <v>266</v>
      </c>
      <c r="J107" s="2">
        <v>500</v>
      </c>
      <c r="K107" s="2">
        <v>1</v>
      </c>
      <c r="L107" s="2">
        <f t="shared" si="22"/>
        <v>500</v>
      </c>
      <c r="M107" s="3" t="s">
        <v>373</v>
      </c>
      <c r="N107" s="2" t="s">
        <v>348</v>
      </c>
      <c r="O107" s="2">
        <v>40.299999999999997</v>
      </c>
      <c r="P107" s="2">
        <v>55</v>
      </c>
      <c r="Q107" s="2" t="s">
        <v>356</v>
      </c>
      <c r="R107" s="222">
        <f t="shared" si="23"/>
        <v>0</v>
      </c>
      <c r="S107" s="2"/>
      <c r="T107" s="206">
        <f t="shared" si="24"/>
        <v>0</v>
      </c>
      <c r="U107" s="2"/>
      <c r="V107" s="204">
        <f t="shared" si="25"/>
        <v>0</v>
      </c>
      <c r="W107" s="2"/>
      <c r="X107" s="204">
        <f t="shared" si="26"/>
        <v>0</v>
      </c>
      <c r="Y107" s="2"/>
      <c r="Z107" s="2"/>
      <c r="AA107" s="2"/>
      <c r="AB107" s="2"/>
      <c r="AC107" s="2"/>
      <c r="AD107" s="2"/>
      <c r="AE107" s="218">
        <f t="shared" si="27"/>
        <v>0</v>
      </c>
      <c r="AF107" s="2"/>
      <c r="AG107" s="207">
        <f t="shared" si="28"/>
        <v>0</v>
      </c>
      <c r="AH107" s="2"/>
      <c r="AI107" s="14">
        <v>0</v>
      </c>
      <c r="AJ107" s="205">
        <f t="shared" si="29"/>
        <v>0</v>
      </c>
      <c r="AK107" s="2"/>
      <c r="AL107" s="2"/>
      <c r="AM107" s="206">
        <f t="shared" si="30"/>
        <v>0</v>
      </c>
      <c r="AN107" s="206">
        <f t="shared" si="31"/>
        <v>0</v>
      </c>
      <c r="AO107" s="3"/>
      <c r="AP107" s="2"/>
      <c r="AQ107" s="204">
        <v>18.899999999999999</v>
      </c>
      <c r="AR107" s="2"/>
      <c r="AS107" s="203">
        <f t="shared" si="32"/>
        <v>0.19047619047619049</v>
      </c>
      <c r="AT107" s="2"/>
      <c r="AU107" s="203">
        <f t="shared" si="33"/>
        <v>5.2910052910052914E-2</v>
      </c>
      <c r="AV107" s="4"/>
      <c r="AW107" s="203">
        <f t="shared" si="34"/>
        <v>0</v>
      </c>
      <c r="AX107" s="3">
        <v>4</v>
      </c>
      <c r="AY107" s="2"/>
      <c r="AZ107" s="2"/>
    </row>
    <row r="108" spans="1:52" ht="19" customHeight="1">
      <c r="A108" s="1" t="s">
        <v>570</v>
      </c>
      <c r="B108" s="2" t="str">
        <f t="shared" si="20"/>
        <v>Lenzen</v>
      </c>
      <c r="C108" s="2">
        <v>2004</v>
      </c>
      <c r="D108" s="2"/>
      <c r="E108" s="11">
        <f t="shared" si="21"/>
        <v>2004</v>
      </c>
      <c r="F108" s="12">
        <f>LOOKUP(E108,Total_wind_installed_capacity!$A$3:$A$28,Total_wind_installed_capacity!$H$3:$H$28)</f>
        <v>46.3964675</v>
      </c>
      <c r="G108" s="3" t="s">
        <v>74</v>
      </c>
      <c r="H108" s="2" t="s">
        <v>33</v>
      </c>
      <c r="I108" s="3" t="s">
        <v>266</v>
      </c>
      <c r="J108" s="2">
        <v>500</v>
      </c>
      <c r="K108" s="2">
        <v>1</v>
      </c>
      <c r="L108" s="2">
        <f t="shared" si="22"/>
        <v>500</v>
      </c>
      <c r="M108" s="3" t="s">
        <v>373</v>
      </c>
      <c r="N108" s="2" t="s">
        <v>348</v>
      </c>
      <c r="O108" s="2">
        <v>40.299999999999997</v>
      </c>
      <c r="P108" s="2">
        <v>65</v>
      </c>
      <c r="Q108" s="2" t="s">
        <v>356</v>
      </c>
      <c r="R108" s="222">
        <f t="shared" si="23"/>
        <v>0</v>
      </c>
      <c r="S108" s="2"/>
      <c r="T108" s="206">
        <f t="shared" si="24"/>
        <v>0</v>
      </c>
      <c r="U108" s="2"/>
      <c r="V108" s="204">
        <f t="shared" si="25"/>
        <v>0</v>
      </c>
      <c r="W108" s="2"/>
      <c r="X108" s="204">
        <f t="shared" si="26"/>
        <v>0</v>
      </c>
      <c r="Y108" s="2"/>
      <c r="Z108" s="2"/>
      <c r="AA108" s="2"/>
      <c r="AB108" s="2"/>
      <c r="AC108" s="2"/>
      <c r="AD108" s="2"/>
      <c r="AE108" s="218">
        <f t="shared" si="27"/>
        <v>0</v>
      </c>
      <c r="AF108" s="2"/>
      <c r="AG108" s="207">
        <f t="shared" si="28"/>
        <v>0</v>
      </c>
      <c r="AH108" s="2"/>
      <c r="AI108" s="14">
        <v>0</v>
      </c>
      <c r="AJ108" s="205">
        <f t="shared" si="29"/>
        <v>0</v>
      </c>
      <c r="AK108" s="2"/>
      <c r="AL108" s="2"/>
      <c r="AM108" s="206">
        <f t="shared" si="30"/>
        <v>0</v>
      </c>
      <c r="AN108" s="206">
        <f t="shared" si="31"/>
        <v>0</v>
      </c>
      <c r="AO108" s="3"/>
      <c r="AP108" s="2"/>
      <c r="AQ108" s="204">
        <v>18.899999999999999</v>
      </c>
      <c r="AR108" s="2"/>
      <c r="AS108" s="203">
        <f t="shared" si="32"/>
        <v>0.19047619047619049</v>
      </c>
      <c r="AT108" s="2"/>
      <c r="AU108" s="203">
        <f t="shared" si="33"/>
        <v>5.2910052910052914E-2</v>
      </c>
      <c r="AV108" s="4"/>
      <c r="AW108" s="203">
        <f t="shared" si="34"/>
        <v>0</v>
      </c>
      <c r="AX108" s="3">
        <v>4</v>
      </c>
      <c r="AY108" s="2"/>
      <c r="AZ108" s="2"/>
    </row>
    <row r="109" spans="1:52" ht="19" customHeight="1">
      <c r="A109" s="1" t="s">
        <v>570</v>
      </c>
      <c r="B109" s="2" t="str">
        <f t="shared" si="20"/>
        <v>Lenzen</v>
      </c>
      <c r="C109" s="2">
        <v>2004</v>
      </c>
      <c r="D109" s="2"/>
      <c r="E109" s="11">
        <f t="shared" si="21"/>
        <v>2004</v>
      </c>
      <c r="F109" s="12">
        <f>LOOKUP(E109,Total_wind_installed_capacity!$A$3:$A$28,Total_wind_installed_capacity!$H$3:$H$28)</f>
        <v>46.3964675</v>
      </c>
      <c r="G109" s="3" t="s">
        <v>74</v>
      </c>
      <c r="H109" s="2" t="s">
        <v>33</v>
      </c>
      <c r="I109" s="3" t="s">
        <v>266</v>
      </c>
      <c r="J109" s="2">
        <v>500</v>
      </c>
      <c r="K109" s="2">
        <v>1</v>
      </c>
      <c r="L109" s="2">
        <f t="shared" si="22"/>
        <v>500</v>
      </c>
      <c r="M109" s="3" t="s">
        <v>373</v>
      </c>
      <c r="N109" s="2" t="s">
        <v>348</v>
      </c>
      <c r="O109" s="2">
        <v>40.299999999999997</v>
      </c>
      <c r="P109" s="2">
        <v>44</v>
      </c>
      <c r="Q109" s="2" t="s">
        <v>356</v>
      </c>
      <c r="R109" s="222">
        <f t="shared" si="23"/>
        <v>0</v>
      </c>
      <c r="S109" s="2"/>
      <c r="T109" s="206">
        <f t="shared" si="24"/>
        <v>0</v>
      </c>
      <c r="U109" s="2"/>
      <c r="V109" s="204">
        <f t="shared" si="25"/>
        <v>0</v>
      </c>
      <c r="W109" s="2"/>
      <c r="X109" s="204">
        <f t="shared" si="26"/>
        <v>0</v>
      </c>
      <c r="Y109" s="2"/>
      <c r="Z109" s="2"/>
      <c r="AA109" s="2"/>
      <c r="AB109" s="2"/>
      <c r="AC109" s="2"/>
      <c r="AD109" s="2"/>
      <c r="AE109" s="218">
        <f t="shared" si="27"/>
        <v>0</v>
      </c>
      <c r="AF109" s="2"/>
      <c r="AG109" s="207">
        <f t="shared" si="28"/>
        <v>0</v>
      </c>
      <c r="AH109" s="2"/>
      <c r="AI109" s="14">
        <v>0</v>
      </c>
      <c r="AJ109" s="205">
        <f t="shared" si="29"/>
        <v>0</v>
      </c>
      <c r="AK109" s="2"/>
      <c r="AL109" s="2"/>
      <c r="AM109" s="206">
        <f t="shared" si="30"/>
        <v>0</v>
      </c>
      <c r="AN109" s="206">
        <f t="shared" si="31"/>
        <v>0</v>
      </c>
      <c r="AO109" s="3"/>
      <c r="AP109" s="2"/>
      <c r="AQ109" s="204">
        <v>40</v>
      </c>
      <c r="AR109" s="2"/>
      <c r="AS109" s="203">
        <f t="shared" si="32"/>
        <v>9.0000000000000011E-2</v>
      </c>
      <c r="AT109" s="2"/>
      <c r="AU109" s="203">
        <f t="shared" si="33"/>
        <v>2.5000000000000001E-2</v>
      </c>
      <c r="AV109" s="4"/>
      <c r="AW109" s="203">
        <f t="shared" si="34"/>
        <v>0</v>
      </c>
      <c r="AX109" s="3">
        <v>2</v>
      </c>
      <c r="AY109" s="2"/>
      <c r="AZ109" s="2"/>
    </row>
    <row r="110" spans="1:52" ht="19" customHeight="1">
      <c r="A110" s="1" t="s">
        <v>570</v>
      </c>
      <c r="B110" s="2" t="str">
        <f t="shared" si="20"/>
        <v>Lenzen</v>
      </c>
      <c r="C110" s="2">
        <v>2004</v>
      </c>
      <c r="D110" s="2"/>
      <c r="E110" s="11">
        <f t="shared" si="21"/>
        <v>2004</v>
      </c>
      <c r="F110" s="12">
        <f>LOOKUP(E110,Total_wind_installed_capacity!$A$3:$A$28,Total_wind_installed_capacity!$H$3:$H$28)</f>
        <v>46.3964675</v>
      </c>
      <c r="G110" s="3" t="s">
        <v>74</v>
      </c>
      <c r="H110" s="2" t="s">
        <v>33</v>
      </c>
      <c r="I110" s="3" t="s">
        <v>266</v>
      </c>
      <c r="J110" s="2">
        <v>500</v>
      </c>
      <c r="K110" s="2">
        <v>1</v>
      </c>
      <c r="L110" s="2">
        <f t="shared" si="22"/>
        <v>500</v>
      </c>
      <c r="M110" s="3" t="s">
        <v>373</v>
      </c>
      <c r="N110" s="2" t="s">
        <v>348</v>
      </c>
      <c r="O110" s="2">
        <v>40.299999999999997</v>
      </c>
      <c r="P110" s="2">
        <v>55</v>
      </c>
      <c r="Q110" s="2" t="s">
        <v>356</v>
      </c>
      <c r="R110" s="222">
        <f t="shared" si="23"/>
        <v>0</v>
      </c>
      <c r="S110" s="2"/>
      <c r="T110" s="206">
        <f t="shared" si="24"/>
        <v>0</v>
      </c>
      <c r="U110" s="2"/>
      <c r="V110" s="204">
        <f t="shared" si="25"/>
        <v>0</v>
      </c>
      <c r="W110" s="2"/>
      <c r="X110" s="204">
        <f t="shared" si="26"/>
        <v>0</v>
      </c>
      <c r="Y110" s="2"/>
      <c r="Z110" s="2"/>
      <c r="AA110" s="2"/>
      <c r="AB110" s="2"/>
      <c r="AC110" s="2"/>
      <c r="AD110" s="2"/>
      <c r="AE110" s="218">
        <f t="shared" si="27"/>
        <v>0</v>
      </c>
      <c r="AF110" s="2"/>
      <c r="AG110" s="207">
        <f t="shared" si="28"/>
        <v>0</v>
      </c>
      <c r="AH110" s="2"/>
      <c r="AI110" s="14">
        <v>0</v>
      </c>
      <c r="AJ110" s="205">
        <f t="shared" si="29"/>
        <v>0</v>
      </c>
      <c r="AK110" s="2"/>
      <c r="AL110" s="2"/>
      <c r="AM110" s="206">
        <f t="shared" si="30"/>
        <v>0</v>
      </c>
      <c r="AN110" s="206">
        <f t="shared" si="31"/>
        <v>0</v>
      </c>
      <c r="AO110" s="3"/>
      <c r="AP110" s="2"/>
      <c r="AQ110" s="204">
        <v>40</v>
      </c>
      <c r="AR110" s="2"/>
      <c r="AS110" s="203">
        <f t="shared" si="32"/>
        <v>9.0000000000000011E-2</v>
      </c>
      <c r="AT110" s="2"/>
      <c r="AU110" s="203">
        <f t="shared" si="33"/>
        <v>2.5000000000000001E-2</v>
      </c>
      <c r="AV110" s="4"/>
      <c r="AW110" s="203">
        <f t="shared" si="34"/>
        <v>0</v>
      </c>
      <c r="AX110" s="3">
        <v>2</v>
      </c>
      <c r="AY110" s="2"/>
      <c r="AZ110" s="2"/>
    </row>
    <row r="111" spans="1:52" ht="19" customHeight="1">
      <c r="A111" s="1" t="s">
        <v>570</v>
      </c>
      <c r="B111" s="2" t="str">
        <f t="shared" si="20"/>
        <v>Lenzen</v>
      </c>
      <c r="C111" s="2">
        <v>2004</v>
      </c>
      <c r="D111" s="2"/>
      <c r="E111" s="11">
        <f t="shared" si="21"/>
        <v>2004</v>
      </c>
      <c r="F111" s="12">
        <f>LOOKUP(E111,Total_wind_installed_capacity!$A$3:$A$28,Total_wind_installed_capacity!$H$3:$H$28)</f>
        <v>46.3964675</v>
      </c>
      <c r="G111" s="3" t="s">
        <v>74</v>
      </c>
      <c r="H111" s="2" t="s">
        <v>33</v>
      </c>
      <c r="I111" s="3" t="s">
        <v>266</v>
      </c>
      <c r="J111" s="2">
        <v>500</v>
      </c>
      <c r="K111" s="2">
        <v>1</v>
      </c>
      <c r="L111" s="2">
        <f t="shared" si="22"/>
        <v>500</v>
      </c>
      <c r="M111" s="3" t="s">
        <v>373</v>
      </c>
      <c r="N111" s="2" t="s">
        <v>348</v>
      </c>
      <c r="O111" s="2">
        <v>40.299999999999997</v>
      </c>
      <c r="P111" s="2">
        <v>55</v>
      </c>
      <c r="Q111" s="2" t="s">
        <v>356</v>
      </c>
      <c r="R111" s="222">
        <f t="shared" si="23"/>
        <v>0</v>
      </c>
      <c r="S111" s="2"/>
      <c r="T111" s="206">
        <f t="shared" si="24"/>
        <v>0</v>
      </c>
      <c r="U111" s="2"/>
      <c r="V111" s="204">
        <f t="shared" si="25"/>
        <v>0</v>
      </c>
      <c r="W111" s="2"/>
      <c r="X111" s="204">
        <f t="shared" si="26"/>
        <v>0</v>
      </c>
      <c r="Y111" s="2"/>
      <c r="Z111" s="2"/>
      <c r="AA111" s="2"/>
      <c r="AB111" s="2"/>
      <c r="AC111" s="2"/>
      <c r="AD111" s="2"/>
      <c r="AE111" s="218">
        <f t="shared" si="27"/>
        <v>0</v>
      </c>
      <c r="AF111" s="2"/>
      <c r="AG111" s="207">
        <f t="shared" si="28"/>
        <v>0</v>
      </c>
      <c r="AH111" s="2"/>
      <c r="AI111" s="14">
        <v>0</v>
      </c>
      <c r="AJ111" s="205">
        <f t="shared" si="29"/>
        <v>0</v>
      </c>
      <c r="AK111" s="2"/>
      <c r="AL111" s="2"/>
      <c r="AM111" s="206">
        <f t="shared" si="30"/>
        <v>0</v>
      </c>
      <c r="AN111" s="206">
        <f t="shared" si="31"/>
        <v>0</v>
      </c>
      <c r="AO111" s="3"/>
      <c r="AP111" s="2"/>
      <c r="AQ111" s="204">
        <v>32.700000000000003</v>
      </c>
      <c r="AR111" s="2"/>
      <c r="AS111" s="203">
        <f t="shared" si="32"/>
        <v>0.11009174311926605</v>
      </c>
      <c r="AT111" s="2"/>
      <c r="AU111" s="203">
        <f t="shared" si="33"/>
        <v>3.0581039755351678E-2</v>
      </c>
      <c r="AV111" s="4"/>
      <c r="AW111" s="203">
        <f t="shared" si="34"/>
        <v>0</v>
      </c>
      <c r="AX111" s="3">
        <v>2</v>
      </c>
      <c r="AY111" s="2"/>
      <c r="AZ111" s="2"/>
    </row>
    <row r="112" spans="1:52" ht="19" customHeight="1">
      <c r="A112" s="1" t="s">
        <v>570</v>
      </c>
      <c r="B112" s="2" t="str">
        <f t="shared" si="20"/>
        <v>Lenzen</v>
      </c>
      <c r="C112" s="2">
        <v>2004</v>
      </c>
      <c r="D112" s="2"/>
      <c r="E112" s="11">
        <f t="shared" si="21"/>
        <v>2004</v>
      </c>
      <c r="F112" s="12">
        <f>LOOKUP(E112,Total_wind_installed_capacity!$A$3:$A$28,Total_wind_installed_capacity!$H$3:$H$28)</f>
        <v>46.3964675</v>
      </c>
      <c r="G112" s="3" t="s">
        <v>74</v>
      </c>
      <c r="H112" s="2" t="s">
        <v>33</v>
      </c>
      <c r="I112" s="3" t="s">
        <v>266</v>
      </c>
      <c r="J112" s="2">
        <v>500</v>
      </c>
      <c r="K112" s="2">
        <v>1</v>
      </c>
      <c r="L112" s="2">
        <f t="shared" si="22"/>
        <v>500</v>
      </c>
      <c r="M112" s="3" t="s">
        <v>373</v>
      </c>
      <c r="N112" s="2" t="s">
        <v>348</v>
      </c>
      <c r="O112" s="2">
        <v>40.299999999999997</v>
      </c>
      <c r="P112" s="2">
        <v>55</v>
      </c>
      <c r="Q112" s="2" t="s">
        <v>356</v>
      </c>
      <c r="R112" s="222">
        <f t="shared" si="23"/>
        <v>0</v>
      </c>
      <c r="S112" s="2"/>
      <c r="T112" s="206">
        <f t="shared" si="24"/>
        <v>0</v>
      </c>
      <c r="U112" s="2"/>
      <c r="V112" s="204">
        <f t="shared" si="25"/>
        <v>0</v>
      </c>
      <c r="W112" s="2"/>
      <c r="X112" s="204">
        <f t="shared" si="26"/>
        <v>0</v>
      </c>
      <c r="Y112" s="2"/>
      <c r="Z112" s="2"/>
      <c r="AA112" s="2"/>
      <c r="AB112" s="2"/>
      <c r="AC112" s="2"/>
      <c r="AD112" s="2"/>
      <c r="AE112" s="218">
        <f t="shared" si="27"/>
        <v>0</v>
      </c>
      <c r="AF112" s="2"/>
      <c r="AG112" s="207">
        <f t="shared" si="28"/>
        <v>0</v>
      </c>
      <c r="AH112" s="2"/>
      <c r="AI112" s="14">
        <v>0</v>
      </c>
      <c r="AJ112" s="205">
        <f t="shared" si="29"/>
        <v>0</v>
      </c>
      <c r="AK112" s="2"/>
      <c r="AL112" s="2"/>
      <c r="AM112" s="206">
        <f t="shared" si="30"/>
        <v>0</v>
      </c>
      <c r="AN112" s="206">
        <f t="shared" si="31"/>
        <v>0</v>
      </c>
      <c r="AO112" s="3"/>
      <c r="AP112" s="2"/>
      <c r="AQ112" s="204">
        <v>25.7</v>
      </c>
      <c r="AR112" s="2"/>
      <c r="AS112" s="203">
        <f t="shared" si="32"/>
        <v>0.14007782101167315</v>
      </c>
      <c r="AT112" s="2"/>
      <c r="AU112" s="203">
        <f t="shared" si="33"/>
        <v>3.8910505836575876E-2</v>
      </c>
      <c r="AV112" s="4"/>
      <c r="AW112" s="203">
        <f t="shared" si="34"/>
        <v>0</v>
      </c>
      <c r="AX112" s="3">
        <v>3</v>
      </c>
      <c r="AY112" s="2"/>
      <c r="AZ112" s="2"/>
    </row>
    <row r="113" spans="1:53" ht="19" customHeight="1">
      <c r="A113" s="1" t="s">
        <v>570</v>
      </c>
      <c r="B113" s="2" t="str">
        <f t="shared" si="20"/>
        <v>Lenzen</v>
      </c>
      <c r="C113" s="2">
        <v>2004</v>
      </c>
      <c r="D113" s="2"/>
      <c r="E113" s="11">
        <f t="shared" si="21"/>
        <v>2004</v>
      </c>
      <c r="F113" s="12">
        <f>LOOKUP(E113,Total_wind_installed_capacity!$A$3:$A$28,Total_wind_installed_capacity!$H$3:$H$28)</f>
        <v>46.3964675</v>
      </c>
      <c r="G113" s="3" t="s">
        <v>74</v>
      </c>
      <c r="H113" s="2" t="s">
        <v>33</v>
      </c>
      <c r="I113" s="3" t="s">
        <v>266</v>
      </c>
      <c r="J113" s="2">
        <v>500</v>
      </c>
      <c r="K113" s="2">
        <v>1</v>
      </c>
      <c r="L113" s="2">
        <f t="shared" si="22"/>
        <v>500</v>
      </c>
      <c r="M113" s="3" t="s">
        <v>373</v>
      </c>
      <c r="N113" s="2" t="s">
        <v>348</v>
      </c>
      <c r="O113" s="2">
        <v>40.299999999999997</v>
      </c>
      <c r="P113" s="2">
        <v>65</v>
      </c>
      <c r="Q113" s="2" t="s">
        <v>356</v>
      </c>
      <c r="R113" s="222">
        <f t="shared" si="23"/>
        <v>0</v>
      </c>
      <c r="S113" s="2"/>
      <c r="T113" s="206">
        <f t="shared" si="24"/>
        <v>0</v>
      </c>
      <c r="U113" s="2"/>
      <c r="V113" s="204">
        <f t="shared" si="25"/>
        <v>0</v>
      </c>
      <c r="W113" s="2"/>
      <c r="X113" s="204">
        <f t="shared" si="26"/>
        <v>0</v>
      </c>
      <c r="Y113" s="2"/>
      <c r="Z113" s="2"/>
      <c r="AA113" s="2"/>
      <c r="AB113" s="2"/>
      <c r="AC113" s="2"/>
      <c r="AD113" s="2"/>
      <c r="AE113" s="218">
        <f t="shared" si="27"/>
        <v>0</v>
      </c>
      <c r="AF113" s="2"/>
      <c r="AG113" s="207">
        <f t="shared" si="28"/>
        <v>0</v>
      </c>
      <c r="AH113" s="2"/>
      <c r="AI113" s="14">
        <v>0</v>
      </c>
      <c r="AJ113" s="205">
        <f t="shared" si="29"/>
        <v>0</v>
      </c>
      <c r="AK113" s="2"/>
      <c r="AL113" s="2"/>
      <c r="AM113" s="206">
        <f t="shared" si="30"/>
        <v>0</v>
      </c>
      <c r="AN113" s="206">
        <f t="shared" si="31"/>
        <v>0</v>
      </c>
      <c r="AO113" s="3"/>
      <c r="AP113" s="2"/>
      <c r="AQ113" s="204">
        <v>25.7</v>
      </c>
      <c r="AR113" s="2"/>
      <c r="AS113" s="203">
        <f t="shared" si="32"/>
        <v>0.14007782101167315</v>
      </c>
      <c r="AT113" s="2"/>
      <c r="AU113" s="203">
        <f t="shared" si="33"/>
        <v>3.8910505836575876E-2</v>
      </c>
      <c r="AV113" s="4"/>
      <c r="AW113" s="203">
        <f t="shared" si="34"/>
        <v>0</v>
      </c>
      <c r="AX113" s="3">
        <v>3</v>
      </c>
      <c r="AY113" s="2"/>
      <c r="AZ113" s="2"/>
    </row>
    <row r="114" spans="1:53" ht="19" customHeight="1">
      <c r="A114" s="1" t="s">
        <v>562</v>
      </c>
      <c r="B114" s="2" t="str">
        <f t="shared" si="20"/>
        <v>Lenzen</v>
      </c>
      <c r="C114" s="2">
        <v>2000</v>
      </c>
      <c r="D114" s="2"/>
      <c r="E114" s="11">
        <f t="shared" si="21"/>
        <v>2000</v>
      </c>
      <c r="F114" s="12">
        <f>LOOKUP(E114,Total_wind_installed_capacity!$A$3:$A$28,Total_wind_installed_capacity!$H$3:$H$28)</f>
        <v>16.347073333333334</v>
      </c>
      <c r="G114" s="3" t="s">
        <v>339</v>
      </c>
      <c r="H114" s="2" t="s">
        <v>22</v>
      </c>
      <c r="I114" s="3" t="s">
        <v>205</v>
      </c>
      <c r="J114" s="2">
        <v>500</v>
      </c>
      <c r="K114" s="2">
        <v>1</v>
      </c>
      <c r="L114" s="2">
        <f t="shared" si="22"/>
        <v>500</v>
      </c>
      <c r="M114" s="3" t="s">
        <v>379</v>
      </c>
      <c r="N114" s="2" t="s">
        <v>359</v>
      </c>
      <c r="O114" s="2">
        <v>39</v>
      </c>
      <c r="P114" s="2">
        <v>40.5</v>
      </c>
      <c r="Q114" s="2" t="s">
        <v>340</v>
      </c>
      <c r="R114" s="222">
        <f t="shared" si="23"/>
        <v>2458947.368421053</v>
      </c>
      <c r="S114" s="2"/>
      <c r="T114" s="206">
        <f t="shared" si="24"/>
        <v>683040.93567251472</v>
      </c>
      <c r="U114" s="2"/>
      <c r="V114" s="204">
        <f t="shared" si="25"/>
        <v>4.917894736842106</v>
      </c>
      <c r="W114" s="2"/>
      <c r="X114" s="204">
        <f t="shared" si="26"/>
        <v>1.3660818713450293</v>
      </c>
      <c r="Y114" s="2"/>
      <c r="Z114" s="2"/>
      <c r="AA114" s="2"/>
      <c r="AB114" s="2"/>
      <c r="AC114" s="2"/>
      <c r="AD114" s="2"/>
      <c r="AE114" s="218">
        <f t="shared" si="27"/>
        <v>578160</v>
      </c>
      <c r="AF114" s="2"/>
      <c r="AG114" s="207">
        <f t="shared" si="28"/>
        <v>1.15632</v>
      </c>
      <c r="AH114" s="2"/>
      <c r="AI114" s="14">
        <v>0.4</v>
      </c>
      <c r="AJ114" s="205">
        <f t="shared" si="29"/>
        <v>1752000</v>
      </c>
      <c r="AK114" s="2"/>
      <c r="AL114" s="2">
        <v>20</v>
      </c>
      <c r="AM114" s="206">
        <f t="shared" si="30"/>
        <v>35040000</v>
      </c>
      <c r="AN114" s="206">
        <f t="shared" si="31"/>
        <v>70080000</v>
      </c>
      <c r="AO114" s="3"/>
      <c r="AP114" s="2"/>
      <c r="AQ114" s="204">
        <v>51.3</v>
      </c>
      <c r="AR114" s="2"/>
      <c r="AS114" s="203">
        <f t="shared" si="32"/>
        <v>7.0175438596491238E-2</v>
      </c>
      <c r="AT114" s="2"/>
      <c r="AU114" s="203">
        <f t="shared" si="33"/>
        <v>1.9493177387914232E-2</v>
      </c>
      <c r="AV114" s="4"/>
      <c r="AW114" s="203">
        <f>AL114/AQ114</f>
        <v>0.38986354775828463</v>
      </c>
      <c r="AX114" s="3">
        <v>16.5</v>
      </c>
      <c r="AY114" s="2"/>
      <c r="AZ114" s="2"/>
    </row>
    <row r="115" spans="1:53" ht="19" customHeight="1">
      <c r="A115" s="1" t="s">
        <v>562</v>
      </c>
      <c r="B115" s="2" t="str">
        <f t="shared" si="20"/>
        <v>Lenzen</v>
      </c>
      <c r="C115" s="2">
        <v>2000</v>
      </c>
      <c r="D115" s="2"/>
      <c r="E115" s="11">
        <f t="shared" si="21"/>
        <v>2000</v>
      </c>
      <c r="F115" s="12">
        <f>LOOKUP(E115,Total_wind_installed_capacity!$A$3:$A$28,Total_wind_installed_capacity!$H$3:$H$28)</f>
        <v>16.347073333333334</v>
      </c>
      <c r="G115" s="3" t="s">
        <v>339</v>
      </c>
      <c r="H115" s="2" t="s">
        <v>22</v>
      </c>
      <c r="I115" s="3" t="s">
        <v>205</v>
      </c>
      <c r="J115" s="2">
        <v>500</v>
      </c>
      <c r="K115" s="2">
        <v>1</v>
      </c>
      <c r="L115" s="2">
        <f t="shared" si="22"/>
        <v>500</v>
      </c>
      <c r="M115" s="3" t="s">
        <v>180</v>
      </c>
      <c r="N115" s="2" t="s">
        <v>348</v>
      </c>
      <c r="O115" s="2"/>
      <c r="P115" s="2">
        <v>41.5</v>
      </c>
      <c r="Q115" s="2" t="s">
        <v>340</v>
      </c>
      <c r="R115" s="222">
        <f t="shared" si="23"/>
        <v>1640364.1092327696</v>
      </c>
      <c r="S115" s="2"/>
      <c r="T115" s="206">
        <f t="shared" si="24"/>
        <v>455656.69700910267</v>
      </c>
      <c r="U115" s="2"/>
      <c r="V115" s="204">
        <f t="shared" si="25"/>
        <v>3.2807282184655393</v>
      </c>
      <c r="W115" s="2"/>
      <c r="X115" s="204">
        <f t="shared" si="26"/>
        <v>0.91131339401820532</v>
      </c>
      <c r="Y115" s="2"/>
      <c r="Z115" s="2"/>
      <c r="AA115" s="2"/>
      <c r="AB115" s="2"/>
      <c r="AC115" s="2"/>
      <c r="AD115" s="2"/>
      <c r="AE115" s="218">
        <f t="shared" si="27"/>
        <v>339888</v>
      </c>
      <c r="AF115" s="2"/>
      <c r="AG115" s="207">
        <f t="shared" si="28"/>
        <v>0.22659200000000002</v>
      </c>
      <c r="AH115" s="2"/>
      <c r="AI115" s="14">
        <v>0.4</v>
      </c>
      <c r="AJ115" s="205">
        <f t="shared" si="29"/>
        <v>1752000</v>
      </c>
      <c r="AK115" s="2"/>
      <c r="AL115" s="2">
        <v>20</v>
      </c>
      <c r="AM115" s="206">
        <f t="shared" si="30"/>
        <v>35040000</v>
      </c>
      <c r="AN115" s="206">
        <f t="shared" si="31"/>
        <v>70080000</v>
      </c>
      <c r="AO115" s="3"/>
      <c r="AP115" s="2"/>
      <c r="AQ115" s="204">
        <v>76.900000000000006</v>
      </c>
      <c r="AR115" s="2"/>
      <c r="AS115" s="203">
        <f t="shared" si="32"/>
        <v>4.6814044213263975E-2</v>
      </c>
      <c r="AT115" s="2"/>
      <c r="AU115" s="203">
        <f t="shared" si="33"/>
        <v>1.3003901170351105E-2</v>
      </c>
      <c r="AV115" s="4"/>
      <c r="AW115" s="203">
        <f>AL115/AQ115</f>
        <v>0.26007802340702207</v>
      </c>
      <c r="AX115" s="3">
        <v>9.6999999999999993</v>
      </c>
      <c r="AY115" s="2"/>
      <c r="AZ115" s="2"/>
    </row>
    <row r="116" spans="1:53" ht="19" customHeight="1">
      <c r="A116" s="1" t="s">
        <v>571</v>
      </c>
      <c r="B116" s="2" t="str">
        <f t="shared" si="20"/>
        <v>Pehnt</v>
      </c>
      <c r="C116" s="2">
        <v>2006</v>
      </c>
      <c r="D116" s="2"/>
      <c r="E116" s="11">
        <f t="shared" si="21"/>
        <v>2006</v>
      </c>
      <c r="F116" s="12">
        <f>LOOKUP(E116,Total_wind_installed_capacity!$A$3:$A$28,Total_wind_installed_capacity!$H$3:$H$28)</f>
        <v>71.980399999999989</v>
      </c>
      <c r="G116" s="3" t="s">
        <v>339</v>
      </c>
      <c r="H116" s="2" t="s">
        <v>33</v>
      </c>
      <c r="I116" s="3" t="s">
        <v>212</v>
      </c>
      <c r="J116" s="2">
        <v>1500</v>
      </c>
      <c r="K116" s="2">
        <v>1</v>
      </c>
      <c r="L116" s="2">
        <f t="shared" si="22"/>
        <v>1500</v>
      </c>
      <c r="M116" s="3" t="s">
        <v>180</v>
      </c>
      <c r="N116" s="13" t="s">
        <v>339</v>
      </c>
      <c r="O116" s="2"/>
      <c r="P116" s="2"/>
      <c r="Q116" s="2" t="s">
        <v>356</v>
      </c>
      <c r="R116" s="222">
        <f t="shared" si="23"/>
        <v>0</v>
      </c>
      <c r="S116" s="2"/>
      <c r="T116" s="206">
        <f t="shared" si="24"/>
        <v>0</v>
      </c>
      <c r="U116" s="2"/>
      <c r="V116" s="204">
        <f t="shared" si="25"/>
        <v>0</v>
      </c>
      <c r="W116" s="2"/>
      <c r="X116" s="204">
        <f t="shared" si="26"/>
        <v>0</v>
      </c>
      <c r="Y116" s="2"/>
      <c r="Z116" s="2"/>
      <c r="AA116" s="2"/>
      <c r="AB116" s="2"/>
      <c r="AC116" s="2"/>
      <c r="AD116" s="2"/>
      <c r="AE116" s="218">
        <f t="shared" si="27"/>
        <v>0</v>
      </c>
      <c r="AF116" s="2"/>
      <c r="AG116" s="207">
        <f t="shared" si="28"/>
        <v>0</v>
      </c>
      <c r="AH116" s="2"/>
      <c r="AI116" s="14">
        <v>0</v>
      </c>
      <c r="AJ116" s="205">
        <f t="shared" si="29"/>
        <v>0</v>
      </c>
      <c r="AK116" s="2"/>
      <c r="AL116" s="2"/>
      <c r="AM116" s="206">
        <f t="shared" si="30"/>
        <v>0</v>
      </c>
      <c r="AN116" s="206">
        <f t="shared" si="31"/>
        <v>0</v>
      </c>
      <c r="AO116" s="3"/>
      <c r="AP116" s="2"/>
      <c r="AQ116" s="204">
        <v>30</v>
      </c>
      <c r="AR116" s="2"/>
      <c r="AS116" s="203">
        <f t="shared" si="32"/>
        <v>0.12</v>
      </c>
      <c r="AT116" s="2"/>
      <c r="AU116" s="203">
        <f t="shared" si="33"/>
        <v>3.3333333333333333E-2</v>
      </c>
      <c r="AV116" s="4"/>
      <c r="AW116" s="203">
        <f>AL116*AU116</f>
        <v>0</v>
      </c>
      <c r="AX116" s="3">
        <v>10.199999999999999</v>
      </c>
      <c r="AY116" s="2"/>
      <c r="AZ116" s="2"/>
    </row>
    <row r="117" spans="1:53" ht="19" customHeight="1">
      <c r="A117" s="1" t="s">
        <v>571</v>
      </c>
      <c r="B117" s="2" t="str">
        <f t="shared" si="20"/>
        <v>Pehnt</v>
      </c>
      <c r="C117" s="2">
        <v>2006</v>
      </c>
      <c r="D117" s="2"/>
      <c r="E117" s="11">
        <f t="shared" si="21"/>
        <v>2006</v>
      </c>
      <c r="F117" s="12">
        <f>LOOKUP(E117,Total_wind_installed_capacity!$A$3:$A$28,Total_wind_installed_capacity!$H$3:$H$28)</f>
        <v>71.980399999999989</v>
      </c>
      <c r="G117" s="3" t="s">
        <v>339</v>
      </c>
      <c r="H117" s="2" t="s">
        <v>380</v>
      </c>
      <c r="I117" s="3" t="s">
        <v>212</v>
      </c>
      <c r="J117" s="2">
        <v>1500</v>
      </c>
      <c r="K117" s="2">
        <v>1</v>
      </c>
      <c r="L117" s="2">
        <f t="shared" si="22"/>
        <v>1500</v>
      </c>
      <c r="M117" s="3" t="s">
        <v>180</v>
      </c>
      <c r="N117" s="2" t="s">
        <v>348</v>
      </c>
      <c r="O117" s="2"/>
      <c r="P117" s="2"/>
      <c r="Q117" s="2" t="s">
        <v>356</v>
      </c>
      <c r="R117" s="222">
        <f t="shared" si="23"/>
        <v>0</v>
      </c>
      <c r="S117" s="2"/>
      <c r="T117" s="206">
        <f t="shared" si="24"/>
        <v>0</v>
      </c>
      <c r="U117" s="2"/>
      <c r="V117" s="204">
        <f t="shared" si="25"/>
        <v>0</v>
      </c>
      <c r="W117" s="2"/>
      <c r="X117" s="204">
        <f t="shared" si="26"/>
        <v>0</v>
      </c>
      <c r="Y117" s="2"/>
      <c r="Z117" s="2"/>
      <c r="AA117" s="2"/>
      <c r="AB117" s="2"/>
      <c r="AC117" s="2"/>
      <c r="AD117" s="2"/>
      <c r="AE117" s="218">
        <f t="shared" si="27"/>
        <v>0</v>
      </c>
      <c r="AF117" s="2"/>
      <c r="AG117" s="207">
        <f t="shared" si="28"/>
        <v>0</v>
      </c>
      <c r="AH117" s="2"/>
      <c r="AI117" s="14">
        <v>0</v>
      </c>
      <c r="AJ117" s="205">
        <f t="shared" si="29"/>
        <v>0</v>
      </c>
      <c r="AK117" s="2"/>
      <c r="AL117" s="2"/>
      <c r="AM117" s="206">
        <f t="shared" si="30"/>
        <v>0</v>
      </c>
      <c r="AN117" s="206">
        <f t="shared" si="31"/>
        <v>0</v>
      </c>
      <c r="AO117" s="3"/>
      <c r="AP117" s="2"/>
      <c r="AQ117" s="204">
        <v>29.4</v>
      </c>
      <c r="AR117" s="2"/>
      <c r="AS117" s="203">
        <f t="shared" si="32"/>
        <v>0.12244897959183675</v>
      </c>
      <c r="AT117" s="2"/>
      <c r="AU117" s="203">
        <f t="shared" si="33"/>
        <v>3.4013605442176874E-2</v>
      </c>
      <c r="AV117" s="4"/>
      <c r="AW117" s="203">
        <f>AL117*AU117</f>
        <v>0</v>
      </c>
      <c r="AX117" s="3">
        <v>10.199999999999999</v>
      </c>
      <c r="AY117" s="2"/>
      <c r="AZ117" s="2"/>
    </row>
    <row r="118" spans="1:53" ht="19" customHeight="1">
      <c r="A118" s="1" t="s">
        <v>571</v>
      </c>
      <c r="B118" s="2" t="str">
        <f t="shared" si="20"/>
        <v>Pehnt</v>
      </c>
      <c r="C118" s="2">
        <v>2006</v>
      </c>
      <c r="D118" s="2"/>
      <c r="E118" s="11">
        <f t="shared" si="21"/>
        <v>2006</v>
      </c>
      <c r="F118" s="12">
        <f>LOOKUP(E118,Total_wind_installed_capacity!$A$3:$A$28,Total_wind_installed_capacity!$H$3:$H$28)</f>
        <v>71.980399999999989</v>
      </c>
      <c r="G118" s="3" t="s">
        <v>339</v>
      </c>
      <c r="H118" s="2" t="s">
        <v>33</v>
      </c>
      <c r="I118" s="3" t="s">
        <v>212</v>
      </c>
      <c r="J118" s="2">
        <v>2500</v>
      </c>
      <c r="K118" s="2">
        <v>1</v>
      </c>
      <c r="L118" s="2">
        <f t="shared" si="22"/>
        <v>2500</v>
      </c>
      <c r="M118" s="3" t="s">
        <v>180</v>
      </c>
      <c r="N118" s="13" t="s">
        <v>339</v>
      </c>
      <c r="O118" s="2"/>
      <c r="P118" s="2"/>
      <c r="Q118" s="2" t="s">
        <v>356</v>
      </c>
      <c r="R118" s="222">
        <f t="shared" si="23"/>
        <v>0</v>
      </c>
      <c r="S118" s="2"/>
      <c r="T118" s="206">
        <f t="shared" si="24"/>
        <v>0</v>
      </c>
      <c r="U118" s="2"/>
      <c r="V118" s="204">
        <f t="shared" si="25"/>
        <v>0</v>
      </c>
      <c r="W118" s="2"/>
      <c r="X118" s="204">
        <f t="shared" si="26"/>
        <v>0</v>
      </c>
      <c r="Y118" s="2"/>
      <c r="Z118" s="2"/>
      <c r="AA118" s="2"/>
      <c r="AB118" s="2"/>
      <c r="AC118" s="2"/>
      <c r="AD118" s="2"/>
      <c r="AE118" s="218">
        <f t="shared" si="27"/>
        <v>0</v>
      </c>
      <c r="AF118" s="2"/>
      <c r="AG118" s="207">
        <f t="shared" si="28"/>
        <v>0</v>
      </c>
      <c r="AH118" s="2"/>
      <c r="AI118" s="14">
        <v>0</v>
      </c>
      <c r="AJ118" s="205">
        <f t="shared" si="29"/>
        <v>0</v>
      </c>
      <c r="AK118" s="2"/>
      <c r="AL118" s="2"/>
      <c r="AM118" s="206">
        <f t="shared" si="30"/>
        <v>0</v>
      </c>
      <c r="AN118" s="206">
        <f t="shared" si="31"/>
        <v>0</v>
      </c>
      <c r="AO118" s="3"/>
      <c r="AP118" s="2"/>
      <c r="AQ118" s="204">
        <v>32.700000000000003</v>
      </c>
      <c r="AR118" s="2"/>
      <c r="AS118" s="203">
        <f t="shared" si="32"/>
        <v>0.11009174311926605</v>
      </c>
      <c r="AT118" s="2"/>
      <c r="AU118" s="203">
        <f t="shared" si="33"/>
        <v>3.0581039755351678E-2</v>
      </c>
      <c r="AV118" s="4"/>
      <c r="AW118" s="203">
        <f>AL118*AU118</f>
        <v>0</v>
      </c>
      <c r="AX118" s="3">
        <v>8.9</v>
      </c>
      <c r="AY118" s="2"/>
      <c r="AZ118" s="2"/>
    </row>
    <row r="119" spans="1:53" ht="19" customHeight="1">
      <c r="A119" s="1" t="s">
        <v>571</v>
      </c>
      <c r="B119" s="2" t="str">
        <f t="shared" si="20"/>
        <v>Pehnt</v>
      </c>
      <c r="C119" s="2">
        <v>2006</v>
      </c>
      <c r="D119" s="2"/>
      <c r="E119" s="11">
        <f t="shared" si="21"/>
        <v>2006</v>
      </c>
      <c r="F119" s="12">
        <f>LOOKUP(E119,Total_wind_installed_capacity!$A$3:$A$28,Total_wind_installed_capacity!$H$3:$H$28)</f>
        <v>71.980399999999989</v>
      </c>
      <c r="G119" s="3" t="s">
        <v>339</v>
      </c>
      <c r="H119" s="2" t="s">
        <v>380</v>
      </c>
      <c r="I119" s="3" t="s">
        <v>212</v>
      </c>
      <c r="J119" s="2">
        <v>2500</v>
      </c>
      <c r="K119" s="2">
        <v>1</v>
      </c>
      <c r="L119" s="2">
        <f t="shared" si="22"/>
        <v>2500</v>
      </c>
      <c r="M119" s="3" t="s">
        <v>180</v>
      </c>
      <c r="N119" s="2" t="s">
        <v>359</v>
      </c>
      <c r="O119" s="2"/>
      <c r="P119" s="2"/>
      <c r="Q119" s="2" t="s">
        <v>356</v>
      </c>
      <c r="R119" s="222">
        <f t="shared" si="23"/>
        <v>0</v>
      </c>
      <c r="S119" s="2"/>
      <c r="T119" s="206">
        <f t="shared" si="24"/>
        <v>0</v>
      </c>
      <c r="U119" s="2"/>
      <c r="V119" s="204">
        <f t="shared" si="25"/>
        <v>0</v>
      </c>
      <c r="W119" s="2"/>
      <c r="X119" s="204">
        <f t="shared" si="26"/>
        <v>0</v>
      </c>
      <c r="Y119" s="2"/>
      <c r="Z119" s="2"/>
      <c r="AA119" s="2"/>
      <c r="AB119" s="2"/>
      <c r="AC119" s="2"/>
      <c r="AD119" s="2"/>
      <c r="AE119" s="218">
        <f t="shared" si="27"/>
        <v>0</v>
      </c>
      <c r="AF119" s="2"/>
      <c r="AG119" s="207" t="e">
        <f t="shared" si="28"/>
        <v>#DIV/0!</v>
      </c>
      <c r="AH119" s="2"/>
      <c r="AI119" s="14">
        <v>0</v>
      </c>
      <c r="AJ119" s="205">
        <f t="shared" si="29"/>
        <v>0</v>
      </c>
      <c r="AK119" s="2"/>
      <c r="AL119" s="2"/>
      <c r="AM119" s="206">
        <f t="shared" si="30"/>
        <v>0</v>
      </c>
      <c r="AN119" s="206">
        <f t="shared" si="31"/>
        <v>0</v>
      </c>
      <c r="AO119" s="3"/>
      <c r="AP119" s="2"/>
      <c r="AQ119" s="204">
        <v>32.299999999999997</v>
      </c>
      <c r="AR119" s="2"/>
      <c r="AS119" s="203">
        <f t="shared" si="32"/>
        <v>0.11145510835913314</v>
      </c>
      <c r="AT119" s="2"/>
      <c r="AU119" s="203">
        <f t="shared" si="33"/>
        <v>3.0959752321981428E-2</v>
      </c>
      <c r="AV119" s="4"/>
      <c r="AW119" s="203">
        <f>AL119*AU119</f>
        <v>0</v>
      </c>
      <c r="AX119" s="3">
        <v>8.9</v>
      </c>
      <c r="AY119" s="2"/>
      <c r="AZ119" s="2"/>
    </row>
    <row r="120" spans="1:53" s="208" customFormat="1" ht="19" customHeight="1" thickBot="1">
      <c r="A120" s="208" t="s">
        <v>572</v>
      </c>
      <c r="B120" s="154" t="str">
        <f t="shared" si="20"/>
        <v>Gagnon</v>
      </c>
      <c r="C120" s="154">
        <v>2002</v>
      </c>
      <c r="D120" s="154"/>
      <c r="E120" s="209">
        <f t="shared" si="21"/>
        <v>2002</v>
      </c>
      <c r="F120" s="210">
        <f>LOOKUP(E120,Total_wind_installed_capacity!$A$3:$A$28,Total_wind_installed_capacity!$H$3:$H$28)</f>
        <v>30.260529999999999</v>
      </c>
      <c r="G120" s="211" t="s">
        <v>339</v>
      </c>
      <c r="H120" s="154" t="s">
        <v>381</v>
      </c>
      <c r="I120" s="211" t="s">
        <v>214</v>
      </c>
      <c r="J120" s="154"/>
      <c r="K120" s="154">
        <v>1</v>
      </c>
      <c r="L120" s="154">
        <f t="shared" si="22"/>
        <v>0</v>
      </c>
      <c r="M120" s="211" t="s">
        <v>180</v>
      </c>
      <c r="N120" s="60" t="s">
        <v>339</v>
      </c>
      <c r="O120" s="154"/>
      <c r="P120" s="154"/>
      <c r="Q120" s="154" t="s">
        <v>356</v>
      </c>
      <c r="R120" s="228">
        <f t="shared" si="23"/>
        <v>0</v>
      </c>
      <c r="S120" s="154"/>
      <c r="T120" s="214">
        <f t="shared" si="24"/>
        <v>0</v>
      </c>
      <c r="U120" s="154"/>
      <c r="V120" s="221" t="e">
        <f t="shared" si="25"/>
        <v>#DIV/0!</v>
      </c>
      <c r="W120" s="154"/>
      <c r="X120" s="221" t="e">
        <f t="shared" si="26"/>
        <v>#DIV/0!</v>
      </c>
      <c r="Y120" s="154"/>
      <c r="Z120" s="154"/>
      <c r="AA120" s="154"/>
      <c r="AB120" s="154"/>
      <c r="AC120" s="154"/>
      <c r="AD120" s="154"/>
      <c r="AE120" s="219">
        <f t="shared" si="27"/>
        <v>0</v>
      </c>
      <c r="AF120" s="154"/>
      <c r="AG120" s="220" t="e">
        <f t="shared" si="28"/>
        <v>#DIV/0!</v>
      </c>
      <c r="AH120" s="154"/>
      <c r="AI120" s="212">
        <v>0</v>
      </c>
      <c r="AJ120" s="213">
        <f t="shared" si="29"/>
        <v>0</v>
      </c>
      <c r="AK120" s="154"/>
      <c r="AL120" s="154"/>
      <c r="AM120" s="214">
        <f t="shared" si="30"/>
        <v>0</v>
      </c>
      <c r="AN120" s="214" t="e">
        <f t="shared" si="31"/>
        <v>#DIV/0!</v>
      </c>
      <c r="AO120" s="211"/>
      <c r="AP120" s="154"/>
      <c r="AQ120" s="221">
        <v>80</v>
      </c>
      <c r="AR120" s="154"/>
      <c r="AS120" s="216">
        <f t="shared" si="32"/>
        <v>4.5000000000000005E-2</v>
      </c>
      <c r="AT120" s="154"/>
      <c r="AU120" s="216">
        <f t="shared" si="33"/>
        <v>1.2500000000000001E-2</v>
      </c>
      <c r="AV120" s="215"/>
      <c r="AW120" s="216">
        <f>AL120*AU120</f>
        <v>0</v>
      </c>
      <c r="AX120" s="211">
        <v>8.16</v>
      </c>
      <c r="AY120" s="154"/>
      <c r="AZ120" s="154"/>
      <c r="BA120" s="217"/>
    </row>
    <row r="121" spans="1:53" ht="19" customHeight="1" thickTop="1">
      <c r="AW121" s="203"/>
    </row>
    <row r="122" spans="1:53" ht="19" customHeight="1">
      <c r="B122" s="13"/>
      <c r="C122" s="2"/>
      <c r="D122" s="2"/>
      <c r="E122" s="2"/>
      <c r="F122" s="2"/>
      <c r="I122" s="3"/>
      <c r="J122" s="2"/>
      <c r="K122" s="2"/>
      <c r="L122" s="2"/>
      <c r="Q122" s="2"/>
      <c r="R122" s="3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3"/>
      <c r="AF122" s="2"/>
      <c r="AG122" s="2"/>
      <c r="AH122" s="2"/>
      <c r="AI122" s="3"/>
      <c r="AJ122" s="2"/>
      <c r="AK122" s="2"/>
      <c r="AL122" s="2"/>
      <c r="AM122" s="2"/>
      <c r="AN122" s="2"/>
      <c r="AO122" s="3"/>
      <c r="AP122" s="2"/>
      <c r="AQ122" s="2"/>
      <c r="AR122" s="2"/>
      <c r="AS122" s="2"/>
      <c r="AT122" s="2"/>
      <c r="AU122" s="4"/>
      <c r="AV122" s="4"/>
      <c r="AW122" s="203"/>
      <c r="AX122" s="3"/>
      <c r="AY122" s="2"/>
      <c r="AZ122" s="2"/>
    </row>
    <row r="123" spans="1:53" ht="19" customHeight="1">
      <c r="B123" s="13"/>
      <c r="C123" s="2"/>
      <c r="D123" s="2"/>
      <c r="E123" s="2"/>
      <c r="F123" s="2"/>
      <c r="I123" s="3"/>
      <c r="J123" s="2"/>
      <c r="K123" s="2"/>
      <c r="L123" s="2"/>
      <c r="Q123" s="2"/>
      <c r="R123" s="3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3"/>
      <c r="AF123" s="2"/>
      <c r="AG123" s="2"/>
      <c r="AH123" s="2"/>
      <c r="AI123" s="3"/>
      <c r="AJ123" s="2"/>
      <c r="AK123" s="2"/>
      <c r="AL123" s="2"/>
      <c r="AM123" s="2"/>
      <c r="AN123" s="2"/>
      <c r="AO123" s="3"/>
      <c r="AP123" s="2"/>
      <c r="AQ123" s="2"/>
      <c r="AR123" s="2"/>
      <c r="AS123" s="2"/>
      <c r="AT123" s="2"/>
      <c r="AU123" s="4"/>
      <c r="AV123" s="4"/>
      <c r="AW123" s="203"/>
      <c r="AX123" s="3"/>
      <c r="AY123" s="2"/>
      <c r="AZ123" s="2"/>
    </row>
    <row r="124" spans="1:53" ht="19" customHeight="1">
      <c r="AW124" s="203"/>
    </row>
    <row r="125" spans="1:53" ht="19" customHeight="1">
      <c r="A125" s="13" t="s">
        <v>382</v>
      </c>
    </row>
  </sheetData>
  <pageMargins left="0" right="0" top="0.39409448818897641" bottom="0.39409448818897641" header="0" footer="0"/>
  <pageSetup orientation="portrait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3629F-E987-A24F-A919-0EC0B511320E}">
  <dimension ref="A1:BA51"/>
  <sheetViews>
    <sheetView workbookViewId="0">
      <pane xSplit="3" ySplit="1" topLeftCell="AE2" activePane="bottomRight" state="frozen"/>
      <selection pane="topRight" activeCell="C1" sqref="C1"/>
      <selection pane="bottomLeft" activeCell="A2" sqref="A2"/>
      <selection pane="bottomRight" activeCell="K2" sqref="K2:K32"/>
    </sheetView>
  </sheetViews>
  <sheetFormatPr baseColWidth="10" defaultColWidth="10.6640625" defaultRowHeight="14"/>
  <cols>
    <col min="1" max="1" width="15.5" style="2" bestFit="1" customWidth="1"/>
    <col min="2" max="2" width="10" style="2" customWidth="1"/>
    <col min="3" max="3" width="11.1640625" style="2" customWidth="1"/>
    <col min="4" max="5" width="7.83203125" style="2" customWidth="1"/>
    <col min="6" max="6" width="11.33203125" style="94" customWidth="1"/>
    <col min="7" max="7" width="10.5" style="2" bestFit="1" customWidth="1"/>
    <col min="8" max="8" width="12.5" style="2" customWidth="1"/>
    <col min="9" max="9" width="9.33203125" style="3" bestFit="1" customWidth="1"/>
    <col min="10" max="10" width="10.6640625" style="2" bestFit="1" customWidth="1"/>
    <col min="11" max="11" width="9.33203125" style="2" customWidth="1"/>
    <col min="12" max="12" width="11.33203125" style="94" customWidth="1"/>
    <col min="13" max="13" width="33.5" style="2" bestFit="1" customWidth="1"/>
    <col min="14" max="14" width="11.1640625" style="2" customWidth="1"/>
    <col min="15" max="15" width="10" style="2" bestFit="1" customWidth="1"/>
    <col min="16" max="16" width="8.5" style="2" bestFit="1" customWidth="1"/>
    <col min="17" max="17" width="11.6640625" style="94" customWidth="1"/>
    <col min="18" max="28" width="16.1640625" style="2" customWidth="1"/>
    <col min="29" max="30" width="12.83203125" style="2" customWidth="1"/>
    <col min="31" max="31" width="16.1640625" style="3" customWidth="1"/>
    <col min="32" max="33" width="16.1640625" style="2" customWidth="1"/>
    <col min="34" max="34" width="16.1640625" style="94" customWidth="1"/>
    <col min="35" max="35" width="8.5" style="2" bestFit="1" customWidth="1"/>
    <col min="36" max="36" width="14" style="2" bestFit="1" customWidth="1"/>
    <col min="37" max="37" width="8.5" style="2" customWidth="1"/>
    <col min="38" max="38" width="9.5" style="2" bestFit="1" customWidth="1"/>
    <col min="39" max="39" width="16.1640625" style="2" customWidth="1"/>
    <col min="40" max="40" width="16.1640625" style="94" customWidth="1"/>
    <col min="41" max="42" width="16.1640625" style="2" customWidth="1"/>
    <col min="43" max="46" width="7.1640625" style="4" customWidth="1"/>
    <col min="47" max="48" width="16" style="2" customWidth="1"/>
    <col min="49" max="49" width="13" style="94" customWidth="1"/>
    <col min="50" max="50" width="10.5" style="2" bestFit="1" customWidth="1"/>
    <col min="51" max="51" width="15.1640625" style="2" customWidth="1"/>
    <col min="52" max="52" width="10.6640625" style="94"/>
    <col min="53" max="16384" width="10.6640625" style="2"/>
  </cols>
  <sheetData>
    <row r="1" spans="1:53" s="1" customFormat="1" ht="105">
      <c r="A1" s="1" t="s">
        <v>331</v>
      </c>
      <c r="B1" s="2" t="s">
        <v>0</v>
      </c>
      <c r="C1" s="2" t="s">
        <v>332</v>
      </c>
      <c r="D1" s="2" t="s">
        <v>1</v>
      </c>
      <c r="E1" s="2" t="s">
        <v>2</v>
      </c>
      <c r="F1" s="2" t="s">
        <v>573</v>
      </c>
      <c r="G1" s="3" t="s">
        <v>14</v>
      </c>
      <c r="H1" s="2" t="s">
        <v>333</v>
      </c>
      <c r="I1" s="3" t="s">
        <v>3</v>
      </c>
      <c r="J1" s="2" t="s">
        <v>457</v>
      </c>
      <c r="K1" s="2" t="s">
        <v>4</v>
      </c>
      <c r="L1" s="2" t="s">
        <v>334</v>
      </c>
      <c r="M1" s="5" t="s">
        <v>15</v>
      </c>
      <c r="N1" s="2" t="s">
        <v>16</v>
      </c>
      <c r="O1" s="2" t="s">
        <v>574</v>
      </c>
      <c r="P1" s="2" t="s">
        <v>575</v>
      </c>
      <c r="Q1" s="2" t="s">
        <v>576</v>
      </c>
      <c r="R1" s="3" t="s">
        <v>335</v>
      </c>
      <c r="S1" s="8" t="s">
        <v>578</v>
      </c>
      <c r="T1" s="8" t="s">
        <v>577</v>
      </c>
      <c r="U1" s="8" t="s">
        <v>579</v>
      </c>
      <c r="V1" s="2" t="s">
        <v>5</v>
      </c>
      <c r="W1" s="8" t="s">
        <v>6</v>
      </c>
      <c r="X1" s="2" t="s">
        <v>459</v>
      </c>
      <c r="Y1" s="8" t="s">
        <v>336</v>
      </c>
      <c r="Z1" s="8" t="s">
        <v>580</v>
      </c>
      <c r="AA1" s="8" t="s">
        <v>581</v>
      </c>
      <c r="AB1" s="8" t="s">
        <v>582</v>
      </c>
      <c r="AC1" s="8" t="s">
        <v>583</v>
      </c>
      <c r="AD1" s="8" t="s">
        <v>584</v>
      </c>
      <c r="AE1" s="16" t="s">
        <v>7</v>
      </c>
      <c r="AF1" s="8" t="s">
        <v>8</v>
      </c>
      <c r="AG1" s="8" t="s">
        <v>9</v>
      </c>
      <c r="AH1" s="8" t="s">
        <v>10</v>
      </c>
      <c r="AI1" s="3" t="s">
        <v>337</v>
      </c>
      <c r="AJ1" s="8" t="s">
        <v>585</v>
      </c>
      <c r="AK1" s="8" t="s">
        <v>586</v>
      </c>
      <c r="AL1" s="2" t="s">
        <v>587</v>
      </c>
      <c r="AM1" s="8" t="s">
        <v>588</v>
      </c>
      <c r="AN1" s="8" t="s">
        <v>589</v>
      </c>
      <c r="AO1" s="9" t="s">
        <v>11</v>
      </c>
      <c r="AP1" s="10" t="s">
        <v>12</v>
      </c>
      <c r="AQ1" s="2" t="s">
        <v>329</v>
      </c>
      <c r="AR1" s="2" t="s">
        <v>330</v>
      </c>
      <c r="AS1" s="10" t="s">
        <v>13</v>
      </c>
      <c r="AT1" s="10" t="s">
        <v>590</v>
      </c>
      <c r="AU1" s="4" t="s">
        <v>591</v>
      </c>
      <c r="AV1" s="8" t="s">
        <v>592</v>
      </c>
      <c r="AW1" s="2" t="s">
        <v>383</v>
      </c>
      <c r="AX1" s="3" t="s">
        <v>594</v>
      </c>
      <c r="AY1" s="8" t="s">
        <v>593</v>
      </c>
      <c r="AZ1" s="8" t="s">
        <v>595</v>
      </c>
      <c r="BA1" s="5" t="s">
        <v>17</v>
      </c>
    </row>
    <row r="2" spans="1:53" ht="13" customHeight="1">
      <c r="A2" s="13" t="str">
        <f>CONCATENATE("\cite{",B2,C2,"}")</f>
        <v>\cite{Nalukowe2006}</v>
      </c>
      <c r="B2" s="2" t="s">
        <v>395</v>
      </c>
      <c r="C2" s="13">
        <v>2006</v>
      </c>
      <c r="D2" s="13"/>
      <c r="E2" s="13">
        <f>IF(D2&gt;0,D2,C2)</f>
        <v>2006</v>
      </c>
      <c r="F2" s="52">
        <f>LOOKUP(E2,Total_wind_installed_capacity!$A$3:$A$28,Total_wind_installed_capacity!$H$3:$H$28)</f>
        <v>71.980399999999989</v>
      </c>
      <c r="G2" s="13" t="s">
        <v>339</v>
      </c>
      <c r="H2" s="13"/>
      <c r="I2" s="18"/>
      <c r="J2" s="13">
        <v>3000</v>
      </c>
      <c r="K2" s="13">
        <f>L2/J2</f>
        <v>1</v>
      </c>
      <c r="L2" s="52">
        <v>3000</v>
      </c>
      <c r="M2" s="13" t="s">
        <v>180</v>
      </c>
      <c r="N2" s="13" t="s">
        <v>339</v>
      </c>
      <c r="O2" s="13"/>
      <c r="Q2" s="52" t="s">
        <v>356</v>
      </c>
      <c r="R2" s="224">
        <f>1120000+538000+404000+230000+222000+209000+305000</f>
        <v>3028000</v>
      </c>
      <c r="S2" s="224"/>
      <c r="T2" s="13"/>
      <c r="U2" s="13"/>
      <c r="V2" s="225">
        <f t="shared" ref="V2:V29" si="0">R2/L2/1000</f>
        <v>1.0093333333333334</v>
      </c>
      <c r="W2" s="103"/>
      <c r="X2" s="223">
        <f t="shared" ref="X2:X29" si="1">V2/3.6</f>
        <v>0.28037037037037038</v>
      </c>
      <c r="Y2" s="6"/>
      <c r="Z2" s="226">
        <v>2.5743064729194187</v>
      </c>
      <c r="AA2" s="224">
        <v>7795000</v>
      </c>
      <c r="AB2" s="13"/>
      <c r="AC2" s="13"/>
      <c r="AD2" s="13"/>
      <c r="AE2" s="18"/>
      <c r="AF2" s="13"/>
      <c r="AG2" s="13"/>
      <c r="AH2" s="52"/>
      <c r="AI2" s="110">
        <v>0.30020000000000002</v>
      </c>
      <c r="AJ2" s="224">
        <f>L2*8760*AI2</f>
        <v>7889256.0000000009</v>
      </c>
      <c r="AK2" s="110"/>
      <c r="AL2" s="13">
        <v>20</v>
      </c>
      <c r="AM2" s="224">
        <v>157800000</v>
      </c>
      <c r="AN2" s="224">
        <f>AM2/L2*1000</f>
        <v>52600000</v>
      </c>
      <c r="AO2" s="109"/>
      <c r="AP2" s="109"/>
      <c r="AQ2" s="103">
        <f t="shared" ref="AQ2:AQ32" si="2">1/AU2</f>
        <v>187.60898282694848</v>
      </c>
      <c r="AR2" s="103"/>
      <c r="AS2" s="103"/>
      <c r="AT2" s="103"/>
      <c r="AU2" s="103">
        <f t="shared" ref="AU2:AU7" si="3">R2/3.6/AM2</f>
        <v>5.3302351781439232E-3</v>
      </c>
      <c r="AV2" s="13"/>
      <c r="AW2" s="112">
        <f t="shared" ref="AW2:AW29" si="4">AU2*AL2</f>
        <v>0.10660470356287846</v>
      </c>
      <c r="AX2" s="13"/>
      <c r="AY2" s="13"/>
    </row>
    <row r="3" spans="1:53" s="114" customFormat="1" ht="13" customHeight="1">
      <c r="A3" s="13" t="str">
        <f t="shared" ref="A3:A32" si="5">CONCATENATE("\cite{",B3,C3,"}")</f>
        <v>\cite{Lee2008}</v>
      </c>
      <c r="B3" s="2" t="s">
        <v>396</v>
      </c>
      <c r="C3" s="13">
        <v>2008</v>
      </c>
      <c r="D3" s="13"/>
      <c r="E3" s="13">
        <f t="shared" ref="E3:E32" si="6">IF(D3&gt;0,D3,C3)</f>
        <v>2008</v>
      </c>
      <c r="F3" s="52">
        <f>LOOKUP(E3,Total_wind_installed_capacity!$A$3:$A$28,Total_wind_installed_capacity!$H$3:$H$28)</f>
        <v>116.9072445</v>
      </c>
      <c r="G3" s="13" t="s">
        <v>339</v>
      </c>
      <c r="H3" s="13"/>
      <c r="I3" s="18" t="s">
        <v>245</v>
      </c>
      <c r="J3" s="13">
        <v>1750</v>
      </c>
      <c r="K3" s="13">
        <f t="shared" ref="K3:K32" si="7">L3/J3</f>
        <v>2</v>
      </c>
      <c r="L3" s="52">
        <f>J3*2</f>
        <v>3500</v>
      </c>
      <c r="M3" s="13" t="s">
        <v>180</v>
      </c>
      <c r="N3" s="13" t="s">
        <v>339</v>
      </c>
      <c r="O3" s="13">
        <v>60</v>
      </c>
      <c r="P3" s="13">
        <v>60</v>
      </c>
      <c r="Q3" s="52" t="s">
        <v>340</v>
      </c>
      <c r="R3" s="224">
        <v>8608000</v>
      </c>
      <c r="S3" s="224"/>
      <c r="T3" s="13"/>
      <c r="U3" s="13"/>
      <c r="V3" s="225">
        <f t="shared" si="0"/>
        <v>2.4594285714285715</v>
      </c>
      <c r="W3" s="6"/>
      <c r="X3" s="223">
        <f t="shared" si="1"/>
        <v>0.68317460317460321</v>
      </c>
      <c r="Y3" s="6"/>
      <c r="Z3" s="13">
        <v>0</v>
      </c>
      <c r="AA3" s="224"/>
      <c r="AB3" s="13"/>
      <c r="AC3" s="6"/>
      <c r="AD3" s="13"/>
      <c r="AE3" s="18"/>
      <c r="AF3" s="13"/>
      <c r="AG3" s="13"/>
      <c r="AH3" s="52"/>
      <c r="AI3" s="110">
        <v>0.42599999999999999</v>
      </c>
      <c r="AJ3" s="224">
        <f t="shared" ref="AJ3:AJ32" si="8">L3*8760*AI3</f>
        <v>13061160</v>
      </c>
      <c r="AK3" s="110"/>
      <c r="AL3" s="13">
        <v>20</v>
      </c>
      <c r="AM3" s="224">
        <f>L3*8760*AI3*AL3</f>
        <v>261223200</v>
      </c>
      <c r="AN3" s="224">
        <f t="shared" ref="AN3:AN32" si="9">AM3/L3*1000</f>
        <v>74635200</v>
      </c>
      <c r="AO3" s="109"/>
      <c r="AP3" s="109"/>
      <c r="AQ3" s="6">
        <f t="shared" si="2"/>
        <v>109.24762081784387</v>
      </c>
      <c r="AR3" s="6"/>
      <c r="AS3" s="6"/>
      <c r="AT3" s="6"/>
      <c r="AU3" s="6">
        <f t="shared" si="3"/>
        <v>9.1535174177144723E-3</v>
      </c>
      <c r="AV3" s="13"/>
      <c r="AW3" s="112">
        <f t="shared" si="4"/>
        <v>0.18307034835428945</v>
      </c>
      <c r="AX3" s="13"/>
      <c r="AY3" s="13"/>
      <c r="AZ3" s="113"/>
    </row>
    <row r="4" spans="1:53" s="116" customFormat="1" ht="16">
      <c r="A4" s="13" t="str">
        <f t="shared" si="5"/>
        <v>\cite{Lee2008}</v>
      </c>
      <c r="B4" s="2" t="s">
        <v>396</v>
      </c>
      <c r="C4" s="13">
        <v>2008</v>
      </c>
      <c r="D4" s="13"/>
      <c r="E4" s="13">
        <f t="shared" si="6"/>
        <v>2008</v>
      </c>
      <c r="F4" s="52">
        <f>LOOKUP(E4,Total_wind_installed_capacity!$A$3:$A$28,Total_wind_installed_capacity!$H$3:$H$28)</f>
        <v>116.9072445</v>
      </c>
      <c r="G4" s="13" t="s">
        <v>339</v>
      </c>
      <c r="H4" s="13"/>
      <c r="I4" s="18" t="s">
        <v>245</v>
      </c>
      <c r="J4" s="13">
        <v>660</v>
      </c>
      <c r="K4" s="13">
        <f t="shared" si="7"/>
        <v>4</v>
      </c>
      <c r="L4" s="52">
        <f>J4*4</f>
        <v>2640</v>
      </c>
      <c r="M4" s="13" t="s">
        <v>180</v>
      </c>
      <c r="N4" s="13" t="s">
        <v>339</v>
      </c>
      <c r="O4" s="13">
        <v>47</v>
      </c>
      <c r="P4" s="13">
        <v>45</v>
      </c>
      <c r="Q4" s="52" t="s">
        <v>340</v>
      </c>
      <c r="R4" s="224">
        <v>7760000</v>
      </c>
      <c r="S4" s="224"/>
      <c r="T4" s="13"/>
      <c r="U4" s="13"/>
      <c r="V4" s="225">
        <f t="shared" si="0"/>
        <v>2.9393939393939394</v>
      </c>
      <c r="W4" s="6"/>
      <c r="X4" s="223">
        <f t="shared" si="1"/>
        <v>0.8164983164983165</v>
      </c>
      <c r="Y4" s="6"/>
      <c r="Z4" s="13">
        <v>0</v>
      </c>
      <c r="AA4" s="224"/>
      <c r="AB4" s="13"/>
      <c r="AC4" s="6"/>
      <c r="AD4" s="13"/>
      <c r="AE4" s="18"/>
      <c r="AF4" s="13"/>
      <c r="AG4" s="13"/>
      <c r="AH4" s="52"/>
      <c r="AI4" s="110">
        <v>0.18899999999999997</v>
      </c>
      <c r="AJ4" s="224">
        <f t="shared" si="8"/>
        <v>4370889.5999999996</v>
      </c>
      <c r="AK4" s="110"/>
      <c r="AL4" s="13">
        <v>20</v>
      </c>
      <c r="AM4" s="224">
        <f>L4*8760*AI4*AL4</f>
        <v>87417792</v>
      </c>
      <c r="AN4" s="224">
        <f t="shared" si="9"/>
        <v>33112800.000000004</v>
      </c>
      <c r="AO4" s="109"/>
      <c r="AP4" s="109"/>
      <c r="AQ4" s="6">
        <f t="shared" si="2"/>
        <v>40.55464577319588</v>
      </c>
      <c r="AR4" s="6"/>
      <c r="AS4" s="6"/>
      <c r="AT4" s="6"/>
      <c r="AU4" s="6">
        <f t="shared" si="3"/>
        <v>2.4658087401195804E-2</v>
      </c>
      <c r="AV4" s="13"/>
      <c r="AW4" s="112">
        <f t="shared" si="4"/>
        <v>0.4931617480239161</v>
      </c>
      <c r="AX4" s="13"/>
      <c r="AY4" s="13"/>
      <c r="AZ4" s="115"/>
    </row>
    <row r="5" spans="1:53" s="116" customFormat="1" ht="16">
      <c r="A5" s="13" t="str">
        <f t="shared" si="5"/>
        <v>\cite{Lee2008}</v>
      </c>
      <c r="B5" s="2" t="s">
        <v>396</v>
      </c>
      <c r="C5" s="13">
        <v>2008</v>
      </c>
      <c r="D5" s="13"/>
      <c r="E5" s="13">
        <f t="shared" si="6"/>
        <v>2008</v>
      </c>
      <c r="F5" s="52">
        <f>LOOKUP(E5,Total_wind_installed_capacity!$A$3:$A$28,Total_wind_installed_capacity!$H$3:$H$28)</f>
        <v>116.9072445</v>
      </c>
      <c r="G5" s="13" t="s">
        <v>339</v>
      </c>
      <c r="H5" s="13"/>
      <c r="I5" s="18" t="s">
        <v>245</v>
      </c>
      <c r="J5" s="13">
        <v>600</v>
      </c>
      <c r="K5" s="13">
        <f t="shared" si="7"/>
        <v>4</v>
      </c>
      <c r="L5" s="52">
        <f>J5*4</f>
        <v>2400</v>
      </c>
      <c r="M5" s="13" t="s">
        <v>180</v>
      </c>
      <c r="N5" s="13" t="s">
        <v>339</v>
      </c>
      <c r="O5" s="13">
        <v>43.7</v>
      </c>
      <c r="P5" s="13">
        <v>46</v>
      </c>
      <c r="Q5" s="52" t="s">
        <v>340</v>
      </c>
      <c r="R5" s="224">
        <v>7178000</v>
      </c>
      <c r="S5" s="224"/>
      <c r="T5" s="13"/>
      <c r="U5" s="13"/>
      <c r="V5" s="225">
        <f t="shared" si="0"/>
        <v>2.9908333333333337</v>
      </c>
      <c r="W5" s="6"/>
      <c r="X5" s="223">
        <f t="shared" si="1"/>
        <v>0.83078703703703716</v>
      </c>
      <c r="Y5" s="6"/>
      <c r="Z5" s="13">
        <v>0</v>
      </c>
      <c r="AA5" s="224"/>
      <c r="AB5" s="13"/>
      <c r="AC5" s="6"/>
      <c r="AD5" s="13"/>
      <c r="AE5" s="18"/>
      <c r="AF5" s="13"/>
      <c r="AG5" s="13"/>
      <c r="AH5" s="52"/>
      <c r="AI5" s="110">
        <v>0.309</v>
      </c>
      <c r="AJ5" s="224">
        <f t="shared" si="8"/>
        <v>6496416</v>
      </c>
      <c r="AK5" s="110"/>
      <c r="AL5" s="13">
        <v>20</v>
      </c>
      <c r="AM5" s="224">
        <f>L5*8760*AI5*AL5</f>
        <v>129928320</v>
      </c>
      <c r="AN5" s="224">
        <f t="shared" si="9"/>
        <v>54136800</v>
      </c>
      <c r="AO5" s="109"/>
      <c r="AP5" s="109"/>
      <c r="AQ5" s="6">
        <f t="shared" si="2"/>
        <v>65.16326999164113</v>
      </c>
      <c r="AR5" s="6"/>
      <c r="AS5" s="6"/>
      <c r="AT5" s="6"/>
      <c r="AU5" s="6">
        <f t="shared" si="3"/>
        <v>1.5346068423642273E-2</v>
      </c>
      <c r="AV5" s="13"/>
      <c r="AW5" s="112">
        <f t="shared" si="4"/>
        <v>0.30692136847284546</v>
      </c>
      <c r="AX5" s="13"/>
      <c r="AY5" s="13"/>
      <c r="AZ5" s="115"/>
    </row>
    <row r="6" spans="1:53" ht="13" customHeight="1">
      <c r="A6" s="13" t="str">
        <f t="shared" si="5"/>
        <v>\cite{Martinez2009}</v>
      </c>
      <c r="B6" s="2" t="s">
        <v>121</v>
      </c>
      <c r="C6" s="13">
        <v>2009</v>
      </c>
      <c r="D6" s="13"/>
      <c r="E6" s="13">
        <f t="shared" si="6"/>
        <v>2009</v>
      </c>
      <c r="F6" s="52">
        <f>LOOKUP(E6,Total_wind_installed_capacity!$A$3:$A$28,Total_wind_installed_capacity!$H$3:$H$28)</f>
        <v>151.3704745</v>
      </c>
      <c r="G6" s="13" t="s">
        <v>339</v>
      </c>
      <c r="H6" s="13"/>
      <c r="I6" s="18" t="s">
        <v>259</v>
      </c>
      <c r="J6" s="13">
        <v>2000</v>
      </c>
      <c r="K6" s="13">
        <f t="shared" si="7"/>
        <v>1</v>
      </c>
      <c r="L6" s="52">
        <v>2000</v>
      </c>
      <c r="M6" s="13" t="s">
        <v>180</v>
      </c>
      <c r="N6" s="13" t="s">
        <v>339</v>
      </c>
      <c r="O6" s="13"/>
      <c r="P6" s="13"/>
      <c r="Q6" s="52" t="s">
        <v>356</v>
      </c>
      <c r="R6" s="224">
        <v>8368965.7000000002</v>
      </c>
      <c r="S6" s="224"/>
      <c r="T6" s="13"/>
      <c r="U6" s="13"/>
      <c r="V6" s="225">
        <f t="shared" si="0"/>
        <v>4.1844828500000002</v>
      </c>
      <c r="W6" s="6"/>
      <c r="X6" s="223">
        <f t="shared" si="1"/>
        <v>1.1623563472222223</v>
      </c>
      <c r="Y6" s="6"/>
      <c r="Z6" s="13">
        <v>0</v>
      </c>
      <c r="AA6" s="224"/>
      <c r="AB6" s="13"/>
      <c r="AC6" s="6"/>
      <c r="AD6" s="13"/>
      <c r="AE6" s="18"/>
      <c r="AF6" s="13"/>
      <c r="AG6" s="13"/>
      <c r="AH6" s="52"/>
      <c r="AI6" s="110">
        <v>0.22800000000000001</v>
      </c>
      <c r="AJ6" s="224">
        <f t="shared" si="8"/>
        <v>3994560</v>
      </c>
      <c r="AK6" s="110"/>
      <c r="AL6" s="13">
        <v>20</v>
      </c>
      <c r="AM6" s="224">
        <f>L6*8760*AI6*AL6</f>
        <v>79891200</v>
      </c>
      <c r="AN6" s="224">
        <f t="shared" si="9"/>
        <v>39945600</v>
      </c>
      <c r="AO6" s="109"/>
      <c r="AP6" s="109"/>
      <c r="AQ6" s="6">
        <f t="shared" si="2"/>
        <v>34.366053143221748</v>
      </c>
      <c r="AR6" s="6"/>
      <c r="AS6" s="6"/>
      <c r="AT6" s="6"/>
      <c r="AU6" s="6">
        <f t="shared" si="3"/>
        <v>2.909848261691456E-2</v>
      </c>
      <c r="AV6" s="13"/>
      <c r="AW6" s="112">
        <f t="shared" si="4"/>
        <v>0.58196965233829123</v>
      </c>
      <c r="AX6" s="13"/>
      <c r="AY6" s="13"/>
    </row>
    <row r="7" spans="1:53" ht="31">
      <c r="A7" s="13" t="str">
        <f t="shared" si="5"/>
        <v>\cite{Guezuraga2012}</v>
      </c>
      <c r="B7" s="2" t="s">
        <v>397</v>
      </c>
      <c r="C7" s="13">
        <v>2012</v>
      </c>
      <c r="D7" s="13"/>
      <c r="E7" s="13">
        <f t="shared" si="6"/>
        <v>2012</v>
      </c>
      <c r="F7" s="52">
        <f>LOOKUP(E7,Total_wind_installed_capacity!$A$3:$A$28,Total_wind_installed_capacity!$H$3:$H$28)</f>
        <v>270.84683750000005</v>
      </c>
      <c r="G7" s="13" t="s">
        <v>339</v>
      </c>
      <c r="H7" s="13"/>
      <c r="I7" s="18"/>
      <c r="J7" s="13">
        <v>1800</v>
      </c>
      <c r="K7" s="13">
        <f t="shared" si="7"/>
        <v>1</v>
      </c>
      <c r="L7" s="52">
        <v>1800</v>
      </c>
      <c r="M7" s="13" t="s">
        <v>180</v>
      </c>
      <c r="N7" s="13" t="s">
        <v>339</v>
      </c>
      <c r="O7" s="13"/>
      <c r="P7" s="13"/>
      <c r="Q7" s="52" t="s">
        <v>340</v>
      </c>
      <c r="R7" s="224">
        <v>7596000</v>
      </c>
      <c r="S7" s="224">
        <v>0</v>
      </c>
      <c r="T7" s="13"/>
      <c r="U7" s="13"/>
      <c r="V7" s="225">
        <f t="shared" si="0"/>
        <v>4.22</v>
      </c>
      <c r="W7" s="6"/>
      <c r="X7" s="223">
        <f t="shared" si="1"/>
        <v>1.1722222222222221</v>
      </c>
      <c r="Y7" s="6"/>
      <c r="Z7" s="13">
        <v>0</v>
      </c>
      <c r="AA7" s="224"/>
      <c r="AB7" s="13"/>
      <c r="AC7" s="6"/>
      <c r="AD7" s="13"/>
      <c r="AE7" s="18"/>
      <c r="AF7" s="13"/>
      <c r="AG7" s="13"/>
      <c r="AH7" s="52"/>
      <c r="AI7" s="110">
        <v>0.28000000000000003</v>
      </c>
      <c r="AJ7" s="224">
        <f t="shared" si="8"/>
        <v>4415040</v>
      </c>
      <c r="AK7" s="110"/>
      <c r="AL7" s="13">
        <v>20</v>
      </c>
      <c r="AM7" s="224">
        <v>99385000</v>
      </c>
      <c r="AN7" s="224">
        <f t="shared" si="9"/>
        <v>55213888.888888888</v>
      </c>
      <c r="AO7" s="109"/>
      <c r="AP7" s="109"/>
      <c r="AQ7" s="6">
        <f t="shared" si="2"/>
        <v>47.10189573459715</v>
      </c>
      <c r="AR7" s="6"/>
      <c r="AS7" s="6"/>
      <c r="AT7" s="6"/>
      <c r="AU7" s="6">
        <f t="shared" si="3"/>
        <v>2.1230567993157923E-2</v>
      </c>
      <c r="AV7" s="13"/>
      <c r="AW7" s="112">
        <f t="shared" si="4"/>
        <v>0.42461135986315846</v>
      </c>
      <c r="AX7" s="13">
        <v>8.82</v>
      </c>
      <c r="AY7" s="13"/>
    </row>
    <row r="8" spans="1:53" ht="13" customHeight="1">
      <c r="A8" s="13" t="str">
        <f t="shared" si="5"/>
        <v>\cite{Weinzettel2009}</v>
      </c>
      <c r="B8" s="117" t="s">
        <v>398</v>
      </c>
      <c r="C8" s="117">
        <v>2009</v>
      </c>
      <c r="D8" s="117"/>
      <c r="E8" s="117">
        <f t="shared" si="6"/>
        <v>2009</v>
      </c>
      <c r="F8" s="52">
        <f>LOOKUP(E8,Total_wind_installed_capacity!$A$3:$A$28,Total_wind_installed_capacity!$H$3:$H$28)</f>
        <v>151.3704745</v>
      </c>
      <c r="G8" s="117" t="s">
        <v>27</v>
      </c>
      <c r="H8" s="117"/>
      <c r="I8" s="118"/>
      <c r="J8" s="117">
        <v>5000</v>
      </c>
      <c r="K8" s="13">
        <f t="shared" si="7"/>
        <v>40</v>
      </c>
      <c r="L8" s="119">
        <f>40*J8</f>
        <v>200000</v>
      </c>
      <c r="M8" s="117" t="s">
        <v>180</v>
      </c>
      <c r="N8" s="117" t="s">
        <v>359</v>
      </c>
      <c r="O8" s="117">
        <v>116</v>
      </c>
      <c r="P8" s="120">
        <v>100</v>
      </c>
      <c r="Q8" s="119" t="s">
        <v>356</v>
      </c>
      <c r="R8" s="224">
        <f>AU8*AM8/3.6</f>
        <v>278568000</v>
      </c>
      <c r="S8" s="224"/>
      <c r="T8" s="117"/>
      <c r="U8" s="117"/>
      <c r="V8" s="225">
        <f t="shared" si="0"/>
        <v>1.3928399999999999</v>
      </c>
      <c r="W8" s="121"/>
      <c r="X8" s="223">
        <f t="shared" si="1"/>
        <v>0.38689999999999997</v>
      </c>
      <c r="Y8" s="6"/>
      <c r="Z8" s="117">
        <v>0.4</v>
      </c>
      <c r="AA8" s="224">
        <f>R8*Z8</f>
        <v>111427200</v>
      </c>
      <c r="AB8" s="117"/>
      <c r="AC8" s="121">
        <f>AA8/L8/1000</f>
        <v>0.55713599999999996</v>
      </c>
      <c r="AD8" s="117"/>
      <c r="AE8" s="118"/>
      <c r="AF8" s="117"/>
      <c r="AG8" s="117"/>
      <c r="AH8" s="119"/>
      <c r="AI8" s="122">
        <v>0.53</v>
      </c>
      <c r="AJ8" s="224">
        <f t="shared" si="8"/>
        <v>928560000</v>
      </c>
      <c r="AK8" s="122"/>
      <c r="AL8" s="117">
        <v>20</v>
      </c>
      <c r="AM8" s="224">
        <f>L8*8760*AI8*AL8</f>
        <v>18571200000</v>
      </c>
      <c r="AN8" s="224">
        <f t="shared" si="9"/>
        <v>92856000</v>
      </c>
      <c r="AO8" s="109"/>
      <c r="AP8" s="109"/>
      <c r="AQ8" s="121">
        <f t="shared" si="2"/>
        <v>18.518518518518519</v>
      </c>
      <c r="AR8" s="121"/>
      <c r="AS8" s="121"/>
      <c r="AT8" s="121"/>
      <c r="AU8" s="121">
        <f>0.054</f>
        <v>5.3999999999999999E-2</v>
      </c>
      <c r="AV8" s="117"/>
      <c r="AW8" s="112">
        <f t="shared" si="4"/>
        <v>1.08</v>
      </c>
      <c r="AX8" s="117"/>
      <c r="AY8" s="117"/>
    </row>
    <row r="9" spans="1:53" ht="13" customHeight="1">
      <c r="A9" s="13" t="str">
        <f t="shared" si="5"/>
        <v>\cite{Vestas2007}</v>
      </c>
      <c r="B9" s="2" t="s">
        <v>399</v>
      </c>
      <c r="C9" s="13">
        <v>2007</v>
      </c>
      <c r="D9" s="13"/>
      <c r="E9" s="13">
        <f t="shared" si="6"/>
        <v>2007</v>
      </c>
      <c r="F9" s="52">
        <f>LOOKUP(E9,Total_wind_installed_capacity!$A$3:$A$28,Total_wind_installed_capacity!$H$3:$H$28)</f>
        <v>91.070114500000003</v>
      </c>
      <c r="G9" s="13" t="s">
        <v>27</v>
      </c>
      <c r="H9" s="13"/>
      <c r="I9" s="18" t="s">
        <v>205</v>
      </c>
      <c r="J9" s="13">
        <v>3000</v>
      </c>
      <c r="K9" s="13">
        <f t="shared" si="7"/>
        <v>100</v>
      </c>
      <c r="L9" s="52">
        <f>J9*100</f>
        <v>300000</v>
      </c>
      <c r="M9" s="13" t="s">
        <v>180</v>
      </c>
      <c r="N9" s="13" t="s">
        <v>348</v>
      </c>
      <c r="O9" s="13"/>
      <c r="P9" s="2">
        <v>105</v>
      </c>
      <c r="Q9" s="52" t="s">
        <v>340</v>
      </c>
      <c r="R9" s="224">
        <f>AA9*100/Z9</f>
        <v>154828129496.40286</v>
      </c>
      <c r="S9" s="224"/>
      <c r="T9" s="13"/>
      <c r="U9" s="13"/>
      <c r="V9" s="225">
        <f t="shared" si="0"/>
        <v>516.09376498800953</v>
      </c>
      <c r="W9" s="6"/>
      <c r="X9" s="223">
        <f t="shared" si="1"/>
        <v>143.35937916333597</v>
      </c>
      <c r="Y9" s="6"/>
      <c r="Z9" s="13">
        <v>0.27800000000000002</v>
      </c>
      <c r="AA9" s="224">
        <f>4304222*100</f>
        <v>430422200</v>
      </c>
      <c r="AB9" s="13"/>
      <c r="AC9" s="6">
        <f>AA9/L9/1000</f>
        <v>1.4347406666666667</v>
      </c>
      <c r="AD9" s="13"/>
      <c r="AE9" s="18"/>
      <c r="AF9" s="13"/>
      <c r="AG9" s="13"/>
      <c r="AH9" s="52"/>
      <c r="AI9" s="110">
        <v>0.30020000000000002</v>
      </c>
      <c r="AJ9" s="224">
        <f t="shared" si="8"/>
        <v>788925600</v>
      </c>
      <c r="AK9" s="110"/>
      <c r="AL9" s="13">
        <v>20</v>
      </c>
      <c r="AM9" s="224">
        <f>L9*8760*AI9*AL9</f>
        <v>15778512000</v>
      </c>
      <c r="AN9" s="224">
        <f t="shared" si="9"/>
        <v>52595040</v>
      </c>
      <c r="AO9" s="109"/>
      <c r="AP9" s="109"/>
      <c r="AQ9" s="6">
        <f t="shared" si="2"/>
        <v>0.36687547272422294</v>
      </c>
      <c r="AR9" s="6"/>
      <c r="AS9" s="6"/>
      <c r="AT9" s="6"/>
      <c r="AU9" s="6">
        <f>R9/3.6/AM9</f>
        <v>2.7257205083090721</v>
      </c>
      <c r="AV9" s="13"/>
      <c r="AW9" s="112">
        <f t="shared" si="4"/>
        <v>54.514410166181442</v>
      </c>
      <c r="AX9" s="13"/>
      <c r="AY9" s="13"/>
    </row>
    <row r="10" spans="1:53" ht="16">
      <c r="A10" s="13" t="str">
        <f t="shared" si="5"/>
        <v>\cite{Ardente2008}</v>
      </c>
      <c r="B10" s="2" t="s">
        <v>400</v>
      </c>
      <c r="C10" s="13">
        <v>2008</v>
      </c>
      <c r="D10" s="13"/>
      <c r="E10" s="13">
        <f t="shared" si="6"/>
        <v>2008</v>
      </c>
      <c r="F10" s="52">
        <f>LOOKUP(E10,Total_wind_installed_capacity!$A$3:$A$28,Total_wind_installed_capacity!$H$3:$H$28)</f>
        <v>116.9072445</v>
      </c>
      <c r="G10" s="13" t="s">
        <v>339</v>
      </c>
      <c r="H10" s="13"/>
      <c r="I10" s="18" t="s">
        <v>73</v>
      </c>
      <c r="J10" s="13">
        <v>660</v>
      </c>
      <c r="K10" s="13">
        <f t="shared" si="7"/>
        <v>11</v>
      </c>
      <c r="L10" s="52">
        <f>11*660</f>
        <v>7260</v>
      </c>
      <c r="M10" s="13" t="s">
        <v>180</v>
      </c>
      <c r="N10" s="13" t="s">
        <v>348</v>
      </c>
      <c r="O10" s="13">
        <v>50</v>
      </c>
      <c r="P10" s="13">
        <v>55</v>
      </c>
      <c r="Q10" s="52" t="s">
        <v>340</v>
      </c>
      <c r="R10" s="224">
        <v>46400000</v>
      </c>
      <c r="S10" s="224">
        <f>4300000</f>
        <v>4300000</v>
      </c>
      <c r="T10" s="109"/>
      <c r="U10" s="109"/>
      <c r="V10" s="225">
        <f t="shared" si="0"/>
        <v>6.3911845730027546</v>
      </c>
      <c r="W10" s="6"/>
      <c r="X10" s="223">
        <f t="shared" si="1"/>
        <v>1.7753290480563206</v>
      </c>
      <c r="Y10" s="6"/>
      <c r="Z10" s="13">
        <v>0.34979999999999994</v>
      </c>
      <c r="AA10" s="224">
        <f>R10*Z10</f>
        <v>16230719.999999998</v>
      </c>
      <c r="AB10" s="109">
        <f>S10*Z10/100</f>
        <v>15041.399999999998</v>
      </c>
      <c r="AC10" s="6">
        <f>AA10/L10/1000</f>
        <v>2.2356363636363636</v>
      </c>
      <c r="AD10" s="74">
        <f>AB10/L10/1000</f>
        <v>2.0718181818181812E-3</v>
      </c>
      <c r="AE10" s="123"/>
      <c r="AF10" s="109"/>
      <c r="AG10" s="109"/>
      <c r="AH10" s="111"/>
      <c r="AI10" s="110">
        <v>0.19</v>
      </c>
      <c r="AJ10" s="224">
        <f t="shared" si="8"/>
        <v>12083544</v>
      </c>
      <c r="AK10" s="110"/>
      <c r="AL10" s="13">
        <v>20</v>
      </c>
      <c r="AM10" s="224">
        <f>12106000*AL10</f>
        <v>242120000</v>
      </c>
      <c r="AN10" s="224">
        <f t="shared" si="9"/>
        <v>33349862.258953165</v>
      </c>
      <c r="AO10" s="109"/>
      <c r="AP10" s="109"/>
      <c r="AQ10" s="6">
        <f t="shared" si="2"/>
        <v>18.181818181818183</v>
      </c>
      <c r="AR10" s="6"/>
      <c r="AS10" s="6"/>
      <c r="AT10" s="6"/>
      <c r="AU10" s="6">
        <f>0.055</f>
        <v>5.5E-2</v>
      </c>
      <c r="AV10" s="6">
        <v>1.4999999999999999E-2</v>
      </c>
      <c r="AW10" s="112">
        <f t="shared" si="4"/>
        <v>1.1000000000000001</v>
      </c>
      <c r="AX10" s="13">
        <v>13.65</v>
      </c>
      <c r="AY10" s="13">
        <v>4.8499999999999996</v>
      </c>
    </row>
    <row r="11" spans="1:53" ht="13" customHeight="1">
      <c r="A11" s="13" t="str">
        <f t="shared" si="5"/>
        <v>\cite{Vestas2004}</v>
      </c>
      <c r="B11" s="2" t="s">
        <v>399</v>
      </c>
      <c r="C11" s="13">
        <v>2004</v>
      </c>
      <c r="D11" s="13"/>
      <c r="E11" s="13">
        <f t="shared" si="6"/>
        <v>2004</v>
      </c>
      <c r="F11" s="52">
        <f>LOOKUP(E11,Total_wind_installed_capacity!$A$3:$A$28,Total_wind_installed_capacity!$H$3:$H$28)</f>
        <v>46.3964675</v>
      </c>
      <c r="G11" s="13" t="s">
        <v>27</v>
      </c>
      <c r="H11" s="13"/>
      <c r="I11" s="18" t="s">
        <v>205</v>
      </c>
      <c r="J11" s="13">
        <v>2000</v>
      </c>
      <c r="K11" s="13">
        <f t="shared" si="7"/>
        <v>8</v>
      </c>
      <c r="L11" s="52">
        <f>8*J11</f>
        <v>16000</v>
      </c>
      <c r="M11" s="13" t="s">
        <v>180</v>
      </c>
      <c r="N11" s="13" t="s">
        <v>348</v>
      </c>
      <c r="O11" s="13"/>
      <c r="P11" s="2">
        <v>78</v>
      </c>
      <c r="Q11" s="52" t="s">
        <v>340</v>
      </c>
      <c r="R11" s="224">
        <f>AA11*100/Z11</f>
        <v>10470410367.170628</v>
      </c>
      <c r="S11" s="224"/>
      <c r="T11" s="13"/>
      <c r="U11" s="13"/>
      <c r="V11" s="225">
        <f t="shared" si="0"/>
        <v>654.40064794816431</v>
      </c>
      <c r="W11" s="6"/>
      <c r="X11" s="223">
        <f t="shared" si="1"/>
        <v>181.77795776337896</v>
      </c>
      <c r="Y11" s="6"/>
      <c r="Z11" s="13">
        <v>0.27779999999999999</v>
      </c>
      <c r="AA11" s="224">
        <f>3635850*8</f>
        <v>29086800</v>
      </c>
      <c r="AB11" s="13"/>
      <c r="AC11" s="6">
        <f>AA11/L11/1000</f>
        <v>1.817925</v>
      </c>
      <c r="AD11" s="13"/>
      <c r="AE11" s="18"/>
      <c r="AF11" s="13"/>
      <c r="AG11" s="13"/>
      <c r="AH11" s="52"/>
      <c r="AI11" s="110">
        <v>0.32159999999999994</v>
      </c>
      <c r="AJ11" s="224">
        <f t="shared" si="8"/>
        <v>45075455.999999993</v>
      </c>
      <c r="AK11" s="110"/>
      <c r="AL11" s="13">
        <v>20</v>
      </c>
      <c r="AM11" s="224">
        <f>L11*8760*AI11*AL11</f>
        <v>901509119.99999988</v>
      </c>
      <c r="AN11" s="224">
        <f t="shared" si="9"/>
        <v>56344319.999999993</v>
      </c>
      <c r="AO11" s="109"/>
      <c r="AP11" s="109"/>
      <c r="AQ11" s="6">
        <f t="shared" si="2"/>
        <v>0.30996233368043224</v>
      </c>
      <c r="AR11" s="6"/>
      <c r="AS11" s="6"/>
      <c r="AT11" s="6"/>
      <c r="AU11" s="6">
        <f>R11/3.6/AM11</f>
        <v>3.2261984484572532</v>
      </c>
      <c r="AV11" s="13"/>
      <c r="AW11" s="112">
        <f t="shared" si="4"/>
        <v>64.523968969145059</v>
      </c>
      <c r="AX11" s="13"/>
      <c r="AY11" s="13"/>
    </row>
    <row r="12" spans="1:53" ht="13" customHeight="1">
      <c r="A12" s="13" t="str">
        <f t="shared" si="5"/>
        <v>\cite{Guezuraga2012}</v>
      </c>
      <c r="B12" s="2" t="s">
        <v>397</v>
      </c>
      <c r="C12" s="13">
        <v>2012</v>
      </c>
      <c r="D12" s="13"/>
      <c r="E12" s="13">
        <f t="shared" si="6"/>
        <v>2012</v>
      </c>
      <c r="F12" s="52">
        <f>LOOKUP(E12,Total_wind_installed_capacity!$A$3:$A$28,Total_wind_installed_capacity!$H$3:$H$28)</f>
        <v>270.84683750000005</v>
      </c>
      <c r="G12" s="13" t="s">
        <v>339</v>
      </c>
      <c r="H12" s="13"/>
      <c r="I12" s="18"/>
      <c r="J12" s="13">
        <v>2000</v>
      </c>
      <c r="K12" s="13">
        <f t="shared" si="7"/>
        <v>1</v>
      </c>
      <c r="L12" s="52">
        <v>2000</v>
      </c>
      <c r="M12" s="13" t="s">
        <v>180</v>
      </c>
      <c r="N12" s="13" t="s">
        <v>339</v>
      </c>
      <c r="O12" s="13"/>
      <c r="P12" s="13"/>
      <c r="Q12" s="52" t="s">
        <v>356</v>
      </c>
      <c r="R12" s="224">
        <v>14076000</v>
      </c>
      <c r="S12" s="224">
        <v>0</v>
      </c>
      <c r="T12" s="13"/>
      <c r="U12" s="13"/>
      <c r="V12" s="225">
        <f t="shared" si="0"/>
        <v>7.0380000000000003</v>
      </c>
      <c r="W12" s="6"/>
      <c r="X12" s="223">
        <f t="shared" si="1"/>
        <v>1.9550000000000001</v>
      </c>
      <c r="Y12" s="6"/>
      <c r="Z12" s="13">
        <v>0</v>
      </c>
      <c r="AA12" s="224"/>
      <c r="AB12" s="13"/>
      <c r="AC12" s="6"/>
      <c r="AD12" s="13"/>
      <c r="AE12" s="18"/>
      <c r="AF12" s="13"/>
      <c r="AG12" s="13"/>
      <c r="AH12" s="52"/>
      <c r="AI12" s="110">
        <v>0.34</v>
      </c>
      <c r="AJ12" s="224">
        <f t="shared" si="8"/>
        <v>5956800</v>
      </c>
      <c r="AK12" s="110"/>
      <c r="AL12" s="13">
        <v>20</v>
      </c>
      <c r="AM12" s="224">
        <f>5980000*AL12</f>
        <v>119600000</v>
      </c>
      <c r="AN12" s="224">
        <f t="shared" si="9"/>
        <v>59800000</v>
      </c>
      <c r="AO12" s="109"/>
      <c r="AP12" s="109"/>
      <c r="AQ12" s="6">
        <f t="shared" si="2"/>
        <v>30.588235294117645</v>
      </c>
      <c r="AR12" s="6"/>
      <c r="AS12" s="6"/>
      <c r="AT12" s="6"/>
      <c r="AU12" s="6">
        <f>R12/3.6/AM12</f>
        <v>3.2692307692307694E-2</v>
      </c>
      <c r="AV12" s="13"/>
      <c r="AW12" s="112">
        <f t="shared" si="4"/>
        <v>0.65384615384615385</v>
      </c>
      <c r="AX12" s="13">
        <v>9.73</v>
      </c>
      <c r="AY12" s="13"/>
    </row>
    <row r="13" spans="1:53" ht="13" customHeight="1">
      <c r="A13" s="13" t="str">
        <f t="shared" si="5"/>
        <v>\cite{Kabir2012}</v>
      </c>
      <c r="B13" s="2" t="s">
        <v>401</v>
      </c>
      <c r="C13" s="13">
        <v>2012</v>
      </c>
      <c r="D13" s="13"/>
      <c r="E13" s="13">
        <f t="shared" si="6"/>
        <v>2012</v>
      </c>
      <c r="F13" s="52">
        <f>LOOKUP(E13,Total_wind_installed_capacity!$A$3:$A$28,Total_wind_installed_capacity!$H$3:$H$28)</f>
        <v>270.84683750000005</v>
      </c>
      <c r="G13" s="13" t="s">
        <v>339</v>
      </c>
      <c r="H13" s="13"/>
      <c r="I13" s="18" t="s">
        <v>119</v>
      </c>
      <c r="J13" s="13">
        <v>100</v>
      </c>
      <c r="K13" s="13">
        <f t="shared" si="7"/>
        <v>1</v>
      </c>
      <c r="L13" s="52">
        <v>100</v>
      </c>
      <c r="M13" s="13" t="s">
        <v>180</v>
      </c>
      <c r="N13" s="13" t="s">
        <v>339</v>
      </c>
      <c r="O13" s="13">
        <v>21</v>
      </c>
      <c r="P13" s="13">
        <v>37</v>
      </c>
      <c r="Q13" s="52" t="s">
        <v>340</v>
      </c>
      <c r="R13" s="224">
        <f>0.1333*AM13</f>
        <v>706490</v>
      </c>
      <c r="S13" s="224"/>
      <c r="T13" s="13"/>
      <c r="U13" s="13"/>
      <c r="V13" s="225">
        <f t="shared" si="0"/>
        <v>7.0648999999999997</v>
      </c>
      <c r="W13" s="6"/>
      <c r="X13" s="223">
        <f t="shared" si="1"/>
        <v>1.9624722222222222</v>
      </c>
      <c r="Y13" s="6"/>
      <c r="Z13" s="13">
        <v>0</v>
      </c>
      <c r="AA13" s="224"/>
      <c r="AB13" s="13"/>
      <c r="AC13" s="6"/>
      <c r="AD13" s="13"/>
      <c r="AE13" s="18"/>
      <c r="AF13" s="13"/>
      <c r="AG13" s="13"/>
      <c r="AH13" s="52"/>
      <c r="AI13" s="110">
        <v>0.24</v>
      </c>
      <c r="AJ13" s="224">
        <f t="shared" si="8"/>
        <v>210240</v>
      </c>
      <c r="AK13" s="110"/>
      <c r="AL13" s="13">
        <v>25</v>
      </c>
      <c r="AM13" s="224">
        <v>5300000</v>
      </c>
      <c r="AN13" s="224">
        <f t="shared" si="9"/>
        <v>53000000</v>
      </c>
      <c r="AO13" s="109"/>
      <c r="AP13" s="109"/>
      <c r="AQ13" s="6">
        <f t="shared" si="2"/>
        <v>27.00675168792198</v>
      </c>
      <c r="AR13" s="6"/>
      <c r="AS13" s="6"/>
      <c r="AT13" s="6"/>
      <c r="AU13" s="6">
        <f>R13/3.6/AM13</f>
        <v>3.7027777777777778E-2</v>
      </c>
      <c r="AV13" s="13"/>
      <c r="AW13" s="112">
        <f t="shared" si="4"/>
        <v>0.92569444444444449</v>
      </c>
      <c r="AX13" s="13"/>
      <c r="AY13" s="13"/>
    </row>
    <row r="14" spans="1:53" ht="13" customHeight="1">
      <c r="A14" s="13" t="str">
        <f t="shared" si="5"/>
        <v>\cite{Chen2011}</v>
      </c>
      <c r="B14" s="114" t="s">
        <v>402</v>
      </c>
      <c r="C14" s="13">
        <v>2011</v>
      </c>
      <c r="D14" s="13"/>
      <c r="E14" s="13">
        <f t="shared" si="6"/>
        <v>2011</v>
      </c>
      <c r="F14" s="52">
        <f>LOOKUP(E14,Total_wind_installed_capacity!$A$3:$A$28,Total_wind_installed_capacity!$H$3:$H$28)</f>
        <v>227.632904</v>
      </c>
      <c r="G14" s="124" t="s">
        <v>339</v>
      </c>
      <c r="H14" s="124"/>
      <c r="I14" s="123" t="s">
        <v>19</v>
      </c>
      <c r="J14" s="13">
        <v>1250</v>
      </c>
      <c r="K14" s="13">
        <f t="shared" si="7"/>
        <v>24</v>
      </c>
      <c r="L14" s="125">
        <f>24*1250</f>
        <v>30000</v>
      </c>
      <c r="M14" s="124" t="s">
        <v>180</v>
      </c>
      <c r="N14" s="124" t="s">
        <v>348</v>
      </c>
      <c r="O14" s="124">
        <v>64</v>
      </c>
      <c r="P14" s="124">
        <v>68</v>
      </c>
      <c r="Q14" s="111" t="s">
        <v>340</v>
      </c>
      <c r="R14" s="224">
        <v>221000000</v>
      </c>
      <c r="S14" s="224">
        <v>0</v>
      </c>
      <c r="T14" s="109"/>
      <c r="U14" s="109"/>
      <c r="V14" s="225">
        <f t="shared" si="0"/>
        <v>7.3666666666666671</v>
      </c>
      <c r="W14" s="6"/>
      <c r="X14" s="223">
        <f t="shared" si="1"/>
        <v>2.0462962962962963</v>
      </c>
      <c r="Y14" s="6"/>
      <c r="Z14" s="109">
        <v>0</v>
      </c>
      <c r="AA14" s="224"/>
      <c r="AB14" s="109"/>
      <c r="AC14" s="6">
        <f>AA14/L14/1000</f>
        <v>0</v>
      </c>
      <c r="AD14" s="13">
        <v>0</v>
      </c>
      <c r="AE14" s="123"/>
      <c r="AF14" s="109"/>
      <c r="AG14" s="109"/>
      <c r="AH14" s="111"/>
      <c r="AI14" s="110">
        <v>0.25</v>
      </c>
      <c r="AJ14" s="224">
        <f t="shared" si="8"/>
        <v>65700000</v>
      </c>
      <c r="AK14" s="110"/>
      <c r="AL14" s="13">
        <v>20</v>
      </c>
      <c r="AM14" s="224">
        <f>65400000*20</f>
        <v>1308000000</v>
      </c>
      <c r="AN14" s="224">
        <f t="shared" si="9"/>
        <v>43600000</v>
      </c>
      <c r="AO14" s="109"/>
      <c r="AP14" s="109"/>
      <c r="AQ14" s="6">
        <f t="shared" si="2"/>
        <v>21.276595744680851</v>
      </c>
      <c r="AR14" s="6"/>
      <c r="AS14" s="6"/>
      <c r="AT14" s="6"/>
      <c r="AU14" s="6">
        <v>4.7E-2</v>
      </c>
      <c r="AV14" s="6">
        <v>0</v>
      </c>
      <c r="AW14" s="112">
        <f t="shared" si="4"/>
        <v>0.94</v>
      </c>
      <c r="AX14" s="13">
        <v>2</v>
      </c>
      <c r="AY14" s="13"/>
    </row>
    <row r="15" spans="1:53" s="127" customFormat="1" ht="13" customHeight="1">
      <c r="A15" s="13" t="str">
        <f t="shared" si="5"/>
        <v>\cite{Yang2011}</v>
      </c>
      <c r="B15" s="2" t="s">
        <v>403</v>
      </c>
      <c r="C15" s="13">
        <v>2011</v>
      </c>
      <c r="D15" s="13"/>
      <c r="E15" s="13">
        <f t="shared" si="6"/>
        <v>2011</v>
      </c>
      <c r="F15" s="52">
        <f>LOOKUP(E15,Total_wind_installed_capacity!$A$3:$A$28,Total_wind_installed_capacity!$H$3:$H$28)</f>
        <v>227.632904</v>
      </c>
      <c r="G15" s="13" t="s">
        <v>404</v>
      </c>
      <c r="H15" s="13"/>
      <c r="I15" s="18" t="s">
        <v>19</v>
      </c>
      <c r="J15" s="13">
        <v>1250</v>
      </c>
      <c r="K15" s="13">
        <f t="shared" si="7"/>
        <v>24</v>
      </c>
      <c r="L15" s="52">
        <f>24*J15</f>
        <v>30000</v>
      </c>
      <c r="M15" s="13" t="s">
        <v>180</v>
      </c>
      <c r="N15" s="13" t="s">
        <v>348</v>
      </c>
      <c r="O15" s="13">
        <v>64</v>
      </c>
      <c r="P15" s="2">
        <v>68</v>
      </c>
      <c r="Q15" s="52" t="s">
        <v>340</v>
      </c>
      <c r="R15" s="224">
        <v>221000000</v>
      </c>
      <c r="S15" s="224"/>
      <c r="T15" s="13"/>
      <c r="U15" s="13"/>
      <c r="V15" s="225">
        <f t="shared" si="0"/>
        <v>7.3666666666666671</v>
      </c>
      <c r="W15" s="103"/>
      <c r="X15" s="223">
        <f t="shared" si="1"/>
        <v>2.0462962962962963</v>
      </c>
      <c r="Y15" s="6"/>
      <c r="Z15" s="13">
        <v>0</v>
      </c>
      <c r="AA15" s="224"/>
      <c r="AB15" s="13"/>
      <c r="AC15" s="13"/>
      <c r="AD15" s="13"/>
      <c r="AE15" s="18"/>
      <c r="AF15" s="13"/>
      <c r="AG15" s="13"/>
      <c r="AH15" s="52"/>
      <c r="AI15" s="110">
        <v>0.24879999999999999</v>
      </c>
      <c r="AJ15" s="224">
        <f t="shared" si="8"/>
        <v>65384640</v>
      </c>
      <c r="AK15" s="110"/>
      <c r="AL15" s="13">
        <v>20</v>
      </c>
      <c r="AM15" s="224">
        <f>L15*8760*AI15*AL15</f>
        <v>1307692800</v>
      </c>
      <c r="AN15" s="224">
        <f t="shared" si="9"/>
        <v>43589760</v>
      </c>
      <c r="AO15" s="109"/>
      <c r="AP15" s="109"/>
      <c r="AQ15" s="103">
        <f t="shared" si="2"/>
        <v>21.301783167420812</v>
      </c>
      <c r="AR15" s="103"/>
      <c r="AS15" s="103"/>
      <c r="AT15" s="103"/>
      <c r="AU15" s="103">
        <f t="shared" ref="AU15:AU29" si="10">R15/3.6/AM15</f>
        <v>4.6944426771248486E-2</v>
      </c>
      <c r="AV15" s="13"/>
      <c r="AW15" s="112">
        <f t="shared" si="4"/>
        <v>0.93888853542496975</v>
      </c>
      <c r="AX15" s="13"/>
      <c r="AY15" s="13"/>
      <c r="AZ15" s="126"/>
    </row>
    <row r="16" spans="1:53" s="127" customFormat="1" ht="13" customHeight="1">
      <c r="A16" s="13" t="str">
        <f t="shared" si="5"/>
        <v>\cite{Vestas2006}</v>
      </c>
      <c r="B16" s="2" t="s">
        <v>399</v>
      </c>
      <c r="C16" s="13">
        <v>2006</v>
      </c>
      <c r="D16" s="13"/>
      <c r="E16" s="13">
        <f t="shared" si="6"/>
        <v>2006</v>
      </c>
      <c r="F16" s="52">
        <f>LOOKUP(E16,Total_wind_installed_capacity!$A$3:$A$28,Total_wind_installed_capacity!$H$3:$H$28)</f>
        <v>71.980399999999989</v>
      </c>
      <c r="G16" s="13" t="s">
        <v>27</v>
      </c>
      <c r="H16" s="13"/>
      <c r="I16" s="18" t="s">
        <v>205</v>
      </c>
      <c r="J16" s="13">
        <v>1650</v>
      </c>
      <c r="K16" s="13">
        <f t="shared" si="7"/>
        <v>182</v>
      </c>
      <c r="L16" s="52">
        <f>182*J16</f>
        <v>300300</v>
      </c>
      <c r="M16" s="13" t="s">
        <v>405</v>
      </c>
      <c r="N16" s="13" t="s">
        <v>348</v>
      </c>
      <c r="O16" s="13"/>
      <c r="P16" s="13"/>
      <c r="Q16" s="52" t="s">
        <v>356</v>
      </c>
      <c r="R16" s="224">
        <f>AA16*100/Z16</f>
        <v>221511174739.86365</v>
      </c>
      <c r="S16" s="224"/>
      <c r="T16" s="13"/>
      <c r="U16" s="13"/>
      <c r="V16" s="225">
        <f t="shared" si="0"/>
        <v>737.63294951669548</v>
      </c>
      <c r="W16" s="6"/>
      <c r="X16" s="223">
        <f t="shared" si="1"/>
        <v>204.89804153241539</v>
      </c>
      <c r="Y16" s="6"/>
      <c r="Z16" s="13">
        <v>0.2787</v>
      </c>
      <c r="AA16" s="224">
        <f>3392042*182</f>
        <v>617351644</v>
      </c>
      <c r="AB16" s="13"/>
      <c r="AC16" s="6">
        <f>AA16/L16/1000</f>
        <v>2.0557830303030307</v>
      </c>
      <c r="AD16" s="13"/>
      <c r="AE16" s="18"/>
      <c r="AF16" s="13"/>
      <c r="AG16" s="13"/>
      <c r="AH16" s="52"/>
      <c r="AI16" s="110">
        <v>0.39</v>
      </c>
      <c r="AJ16" s="224">
        <f t="shared" si="8"/>
        <v>1025944920</v>
      </c>
      <c r="AK16" s="110"/>
      <c r="AL16" s="13">
        <v>20</v>
      </c>
      <c r="AM16" s="224">
        <f>L16*8760*AI16*AL16</f>
        <v>20518898400</v>
      </c>
      <c r="AN16" s="224">
        <f t="shared" si="9"/>
        <v>68328000</v>
      </c>
      <c r="AO16" s="109"/>
      <c r="AP16" s="109"/>
      <c r="AQ16" s="6">
        <f t="shared" si="2"/>
        <v>0.3334731727496299</v>
      </c>
      <c r="AR16" s="6"/>
      <c r="AS16" s="6"/>
      <c r="AT16" s="6"/>
      <c r="AU16" s="6">
        <f t="shared" si="10"/>
        <v>2.9987419730186073</v>
      </c>
      <c r="AV16" s="13"/>
      <c r="AW16" s="112">
        <f t="shared" si="4"/>
        <v>59.974839460372145</v>
      </c>
      <c r="AX16" s="13"/>
      <c r="AY16" s="13"/>
      <c r="AZ16" s="126"/>
    </row>
    <row r="17" spans="1:52" s="127" customFormat="1" ht="13" customHeight="1">
      <c r="A17" s="13" t="str">
        <f t="shared" si="5"/>
        <v>\cite{Vestas2011}</v>
      </c>
      <c r="B17" s="2" t="s">
        <v>399</v>
      </c>
      <c r="C17" s="13">
        <v>2011</v>
      </c>
      <c r="D17" s="13"/>
      <c r="E17" s="13">
        <f t="shared" si="6"/>
        <v>2011</v>
      </c>
      <c r="F17" s="52">
        <f>LOOKUP(E17,Total_wind_installed_capacity!$A$3:$A$28,Total_wind_installed_capacity!$H$3:$H$28)</f>
        <v>227.632904</v>
      </c>
      <c r="G17" s="13" t="s">
        <v>27</v>
      </c>
      <c r="H17" s="13"/>
      <c r="I17" s="18" t="s">
        <v>205</v>
      </c>
      <c r="J17" s="13">
        <v>3000</v>
      </c>
      <c r="K17" s="13">
        <f t="shared" si="7"/>
        <v>33</v>
      </c>
      <c r="L17" s="52">
        <f>33*J17</f>
        <v>99000</v>
      </c>
      <c r="M17" s="13" t="s">
        <v>406</v>
      </c>
      <c r="N17" s="13" t="s">
        <v>348</v>
      </c>
      <c r="O17" s="13"/>
      <c r="P17" s="2">
        <v>84</v>
      </c>
      <c r="Q17" s="52" t="s">
        <v>356</v>
      </c>
      <c r="R17" s="224">
        <f>0.12*AM17</f>
        <v>902546400</v>
      </c>
      <c r="S17" s="224"/>
      <c r="T17" s="13"/>
      <c r="U17" s="13"/>
      <c r="V17" s="225">
        <f t="shared" si="0"/>
        <v>9.116630303030302</v>
      </c>
      <c r="W17" s="103"/>
      <c r="X17" s="223">
        <f t="shared" si="1"/>
        <v>2.5323973063973062</v>
      </c>
      <c r="Y17" s="6"/>
      <c r="Z17" s="6">
        <v>0.28108804156772438</v>
      </c>
      <c r="AA17" s="224">
        <v>253695000</v>
      </c>
      <c r="AB17" s="13"/>
      <c r="AC17" s="6">
        <f>AA17/L17/1000</f>
        <v>2.5625757575757575</v>
      </c>
      <c r="AD17" s="13"/>
      <c r="AE17" s="18"/>
      <c r="AF17" s="13"/>
      <c r="AG17" s="13"/>
      <c r="AH17" s="52"/>
      <c r="AI17" s="110">
        <v>0.43359999999999999</v>
      </c>
      <c r="AJ17" s="224">
        <f t="shared" si="8"/>
        <v>376035264</v>
      </c>
      <c r="AK17" s="110"/>
      <c r="AL17" s="13">
        <v>20</v>
      </c>
      <c r="AM17" s="224">
        <f>376061000*AL17</f>
        <v>7521220000</v>
      </c>
      <c r="AN17" s="224">
        <f t="shared" si="9"/>
        <v>75971919.191919193</v>
      </c>
      <c r="AO17" s="109"/>
      <c r="AP17" s="109"/>
      <c r="AQ17" s="103">
        <f t="shared" si="2"/>
        <v>30</v>
      </c>
      <c r="AR17" s="103"/>
      <c r="AS17" s="103"/>
      <c r="AT17" s="103"/>
      <c r="AU17" s="103">
        <f t="shared" si="10"/>
        <v>3.3333333333333333E-2</v>
      </c>
      <c r="AV17" s="13"/>
      <c r="AW17" s="112">
        <f t="shared" si="4"/>
        <v>0.66666666666666663</v>
      </c>
      <c r="AX17" s="13"/>
      <c r="AY17" s="13"/>
      <c r="AZ17" s="126"/>
    </row>
    <row r="18" spans="1:52" ht="13" customHeight="1">
      <c r="A18" s="13" t="str">
        <f t="shared" si="5"/>
        <v>\cite{Vestas2006}</v>
      </c>
      <c r="B18" s="128" t="s">
        <v>399</v>
      </c>
      <c r="C18" s="129">
        <v>2006</v>
      </c>
      <c r="D18" s="129"/>
      <c r="E18" s="117">
        <f t="shared" si="6"/>
        <v>2006</v>
      </c>
      <c r="F18" s="52">
        <f>LOOKUP(E18,Total_wind_installed_capacity!$A$3:$A$28,Total_wind_installed_capacity!$H$3:$H$28)</f>
        <v>71.980399999999989</v>
      </c>
      <c r="G18" s="13" t="s">
        <v>27</v>
      </c>
      <c r="H18" s="129"/>
      <c r="I18" s="130" t="s">
        <v>205</v>
      </c>
      <c r="J18" s="129">
        <v>3000</v>
      </c>
      <c r="K18" s="13">
        <f t="shared" si="7"/>
        <v>100</v>
      </c>
      <c r="L18" s="131">
        <f>J18*100</f>
        <v>300000</v>
      </c>
      <c r="M18" s="129" t="s">
        <v>180</v>
      </c>
      <c r="N18" s="129" t="s">
        <v>359</v>
      </c>
      <c r="O18" s="129"/>
      <c r="P18" s="128">
        <v>80</v>
      </c>
      <c r="Q18" s="131" t="s">
        <v>340</v>
      </c>
      <c r="R18" s="224">
        <f>AA18*100/Z18</f>
        <v>289849355762.34784</v>
      </c>
      <c r="S18" s="224"/>
      <c r="T18" s="129"/>
      <c r="U18" s="129"/>
      <c r="V18" s="225">
        <f t="shared" si="0"/>
        <v>966.16451920782606</v>
      </c>
      <c r="W18" s="132"/>
      <c r="X18" s="223">
        <f t="shared" si="1"/>
        <v>268.379033113285</v>
      </c>
      <c r="Y18" s="6"/>
      <c r="Z18" s="129">
        <v>0.27940000000000004</v>
      </c>
      <c r="AA18" s="224">
        <f>8098391*100</f>
        <v>809839100</v>
      </c>
      <c r="AB18" s="129"/>
      <c r="AC18" s="132">
        <f>AA18/L18/1000</f>
        <v>2.6994636666666665</v>
      </c>
      <c r="AD18" s="129"/>
      <c r="AE18" s="130"/>
      <c r="AF18" s="129"/>
      <c r="AG18" s="129"/>
      <c r="AH18" s="131"/>
      <c r="AI18" s="133">
        <v>0.54159999999999997</v>
      </c>
      <c r="AJ18" s="224">
        <f t="shared" si="8"/>
        <v>1423324800</v>
      </c>
      <c r="AK18" s="133"/>
      <c r="AL18" s="129">
        <v>20</v>
      </c>
      <c r="AM18" s="224">
        <f>L18*8760*AI18*AL18</f>
        <v>28466496000</v>
      </c>
      <c r="AN18" s="224">
        <f t="shared" si="9"/>
        <v>94888320</v>
      </c>
      <c r="AO18" s="109"/>
      <c r="AP18" s="109"/>
      <c r="AQ18" s="132">
        <f t="shared" si="2"/>
        <v>0.35356085346632443</v>
      </c>
      <c r="AR18" s="132"/>
      <c r="AS18" s="132"/>
      <c r="AT18" s="132"/>
      <c r="AU18" s="132">
        <f t="shared" si="10"/>
        <v>2.8283674230219802</v>
      </c>
      <c r="AV18" s="129"/>
      <c r="AW18" s="112">
        <f t="shared" si="4"/>
        <v>56.567348460439604</v>
      </c>
      <c r="AX18" s="129"/>
      <c r="AY18" s="129"/>
    </row>
    <row r="19" spans="1:52" ht="15" customHeight="1">
      <c r="A19" s="13" t="str">
        <f t="shared" si="5"/>
        <v>\cite{Vestas2011}</v>
      </c>
      <c r="B19" s="134" t="s">
        <v>399</v>
      </c>
      <c r="C19" s="135">
        <v>2011</v>
      </c>
      <c r="D19" s="135"/>
      <c r="E19" s="13">
        <f t="shared" si="6"/>
        <v>2011</v>
      </c>
      <c r="F19" s="52">
        <f>LOOKUP(E19,Total_wind_installed_capacity!$A$3:$A$28,Total_wind_installed_capacity!$H$3:$H$28)</f>
        <v>227.632904</v>
      </c>
      <c r="G19" s="13" t="s">
        <v>27</v>
      </c>
      <c r="H19" s="136"/>
      <c r="I19" s="137" t="s">
        <v>205</v>
      </c>
      <c r="J19" s="136">
        <v>2000</v>
      </c>
      <c r="K19" s="13">
        <f t="shared" si="7"/>
        <v>25</v>
      </c>
      <c r="L19" s="138">
        <f>25*J19</f>
        <v>50000</v>
      </c>
      <c r="M19" s="136" t="s">
        <v>407</v>
      </c>
      <c r="N19" s="136" t="s">
        <v>348</v>
      </c>
      <c r="O19" s="136"/>
      <c r="P19" s="134">
        <v>80</v>
      </c>
      <c r="Q19" s="138" t="s">
        <v>356</v>
      </c>
      <c r="R19" s="224">
        <f>0.126*AM19</f>
        <v>520974720</v>
      </c>
      <c r="S19" s="224"/>
      <c r="T19" s="136"/>
      <c r="U19" s="136"/>
      <c r="V19" s="225">
        <f t="shared" si="0"/>
        <v>10.4194944</v>
      </c>
      <c r="W19" s="103"/>
      <c r="X19" s="223">
        <f t="shared" si="1"/>
        <v>2.894304</v>
      </c>
      <c r="Y19" s="6"/>
      <c r="Z19" s="136">
        <v>0</v>
      </c>
      <c r="AA19" s="224"/>
      <c r="AB19" s="136"/>
      <c r="AC19" s="6"/>
      <c r="AD19" s="136"/>
      <c r="AE19" s="137"/>
      <c r="AF19" s="136"/>
      <c r="AG19" s="136"/>
      <c r="AH19" s="138"/>
      <c r="AI19" s="139">
        <v>0.47200000000000003</v>
      </c>
      <c r="AJ19" s="224">
        <f t="shared" si="8"/>
        <v>206736000</v>
      </c>
      <c r="AK19" s="139"/>
      <c r="AL19" s="135">
        <v>20</v>
      </c>
      <c r="AM19" s="224">
        <f>L19*8760*AI19*AL19</f>
        <v>4134720000</v>
      </c>
      <c r="AN19" s="224">
        <f t="shared" si="9"/>
        <v>82694400</v>
      </c>
      <c r="AO19" s="109"/>
      <c r="AP19" s="109"/>
      <c r="AQ19" s="103">
        <f t="shared" si="2"/>
        <v>28.571428571428569</v>
      </c>
      <c r="AR19" s="103"/>
      <c r="AS19" s="103"/>
      <c r="AT19" s="103"/>
      <c r="AU19" s="103">
        <f t="shared" si="10"/>
        <v>3.5000000000000003E-2</v>
      </c>
      <c r="AV19" s="136"/>
      <c r="AW19" s="112">
        <f t="shared" si="4"/>
        <v>0.70000000000000007</v>
      </c>
      <c r="AX19" s="136"/>
      <c r="AY19" s="136"/>
    </row>
    <row r="20" spans="1:52" ht="15" customHeight="1">
      <c r="A20" s="13" t="str">
        <f t="shared" si="5"/>
        <v>\cite{Vestas2011}</v>
      </c>
      <c r="B20" s="2" t="s">
        <v>399</v>
      </c>
      <c r="C20" s="13">
        <v>2011</v>
      </c>
      <c r="D20" s="13"/>
      <c r="E20" s="13">
        <f t="shared" si="6"/>
        <v>2011</v>
      </c>
      <c r="F20" s="52">
        <f>LOOKUP(E20,Total_wind_installed_capacity!$A$3:$A$28,Total_wind_installed_capacity!$H$3:$H$28)</f>
        <v>227.632904</v>
      </c>
      <c r="G20" s="13" t="s">
        <v>27</v>
      </c>
      <c r="H20" s="13"/>
      <c r="I20" s="18" t="s">
        <v>205</v>
      </c>
      <c r="J20" s="13">
        <v>2000</v>
      </c>
      <c r="K20" s="13">
        <f t="shared" si="7"/>
        <v>25</v>
      </c>
      <c r="L20" s="52">
        <f>25*J20</f>
        <v>50000</v>
      </c>
      <c r="M20" s="13" t="s">
        <v>408</v>
      </c>
      <c r="N20" s="13" t="s">
        <v>348</v>
      </c>
      <c r="O20" s="13"/>
      <c r="P20" s="13">
        <v>80</v>
      </c>
      <c r="Q20" s="52" t="s">
        <v>356</v>
      </c>
      <c r="R20" s="224">
        <f>0.171*AM20</f>
        <v>535059000.00000006</v>
      </c>
      <c r="S20" s="224"/>
      <c r="T20" s="13"/>
      <c r="U20" s="13"/>
      <c r="V20" s="225">
        <f t="shared" si="0"/>
        <v>10.701180000000001</v>
      </c>
      <c r="W20" s="103"/>
      <c r="X20" s="223">
        <f t="shared" si="1"/>
        <v>2.97255</v>
      </c>
      <c r="Y20" s="6"/>
      <c r="Z20" s="13">
        <v>0</v>
      </c>
      <c r="AA20" s="224"/>
      <c r="AB20" s="13"/>
      <c r="AC20" s="6"/>
      <c r="AD20" s="13"/>
      <c r="AE20" s="18"/>
      <c r="AF20" s="13"/>
      <c r="AG20" s="13"/>
      <c r="AH20" s="52"/>
      <c r="AI20" s="110">
        <v>0.35710000000000003</v>
      </c>
      <c r="AJ20" s="224">
        <f t="shared" si="8"/>
        <v>156409800</v>
      </c>
      <c r="AK20" s="110"/>
      <c r="AL20" s="13">
        <v>20</v>
      </c>
      <c r="AM20" s="224">
        <v>3129000000</v>
      </c>
      <c r="AN20" s="224">
        <f t="shared" si="9"/>
        <v>62580000</v>
      </c>
      <c r="AO20" s="109"/>
      <c r="AP20" s="109"/>
      <c r="AQ20" s="103">
        <f t="shared" si="2"/>
        <v>21.05263157894737</v>
      </c>
      <c r="AR20" s="103"/>
      <c r="AS20" s="103"/>
      <c r="AT20" s="103"/>
      <c r="AU20" s="103">
        <f t="shared" si="10"/>
        <v>4.7500000000000001E-2</v>
      </c>
      <c r="AV20" s="13"/>
      <c r="AW20" s="112">
        <f t="shared" si="4"/>
        <v>0.95</v>
      </c>
      <c r="AX20" s="13"/>
      <c r="AY20" s="13"/>
    </row>
    <row r="21" spans="1:52" ht="13" customHeight="1">
      <c r="A21" s="13" t="str">
        <f t="shared" si="5"/>
        <v>\cite{Kabir2012}</v>
      </c>
      <c r="B21" s="2" t="s">
        <v>401</v>
      </c>
      <c r="C21" s="13">
        <v>2012</v>
      </c>
      <c r="D21" s="13"/>
      <c r="E21" s="13">
        <f t="shared" si="6"/>
        <v>2012</v>
      </c>
      <c r="F21" s="52">
        <f>LOOKUP(E21,Total_wind_installed_capacity!$A$3:$A$28,Total_wind_installed_capacity!$H$3:$H$28)</f>
        <v>270.84683750000005</v>
      </c>
      <c r="G21" s="13" t="s">
        <v>339</v>
      </c>
      <c r="H21" s="13"/>
      <c r="I21" s="18" t="s">
        <v>119</v>
      </c>
      <c r="J21" s="13">
        <v>20</v>
      </c>
      <c r="K21" s="13">
        <f t="shared" si="7"/>
        <v>5</v>
      </c>
      <c r="L21" s="52">
        <v>100</v>
      </c>
      <c r="M21" s="13" t="s">
        <v>180</v>
      </c>
      <c r="N21" s="13" t="s">
        <v>339</v>
      </c>
      <c r="O21" s="13">
        <v>9.4499999999999993</v>
      </c>
      <c r="P21" s="13">
        <v>36.700000000000003</v>
      </c>
      <c r="Q21" s="52" t="s">
        <v>340</v>
      </c>
      <c r="R21" s="224">
        <f>0.2215*AM21</f>
        <v>1085350</v>
      </c>
      <c r="S21" s="224"/>
      <c r="T21" s="13"/>
      <c r="U21" s="13"/>
      <c r="V21" s="225">
        <f t="shared" si="0"/>
        <v>10.8535</v>
      </c>
      <c r="W21" s="6"/>
      <c r="X21" s="223">
        <f t="shared" si="1"/>
        <v>3.0148611111111112</v>
      </c>
      <c r="Y21" s="6"/>
      <c r="Z21" s="13">
        <v>0</v>
      </c>
      <c r="AA21" s="224"/>
      <c r="AB21" s="13"/>
      <c r="AC21" s="6"/>
      <c r="AD21" s="13"/>
      <c r="AE21" s="18"/>
      <c r="AF21" s="13"/>
      <c r="AG21" s="13"/>
      <c r="AH21" s="52"/>
      <c r="AI21" s="110">
        <v>0.22</v>
      </c>
      <c r="AJ21" s="224">
        <f t="shared" si="8"/>
        <v>192720</v>
      </c>
      <c r="AK21" s="110"/>
      <c r="AL21" s="13">
        <v>25</v>
      </c>
      <c r="AM21" s="224">
        <v>4900000</v>
      </c>
      <c r="AN21" s="224">
        <f t="shared" si="9"/>
        <v>49000000</v>
      </c>
      <c r="AO21" s="109"/>
      <c r="AP21" s="109"/>
      <c r="AQ21" s="6">
        <f t="shared" si="2"/>
        <v>16.252821670428894</v>
      </c>
      <c r="AR21" s="6"/>
      <c r="AS21" s="6"/>
      <c r="AT21" s="6"/>
      <c r="AU21" s="6">
        <f t="shared" si="10"/>
        <v>6.1527777777777778E-2</v>
      </c>
      <c r="AV21" s="13"/>
      <c r="AW21" s="112">
        <f t="shared" si="4"/>
        <v>1.5381944444444444</v>
      </c>
      <c r="AX21" s="13"/>
      <c r="AY21" s="13"/>
    </row>
    <row r="22" spans="1:52" ht="13" customHeight="1">
      <c r="A22" s="13" t="str">
        <f t="shared" si="5"/>
        <v>\cite{Vestas2004}</v>
      </c>
      <c r="B22" s="128" t="s">
        <v>399</v>
      </c>
      <c r="C22" s="129">
        <v>2004</v>
      </c>
      <c r="D22" s="129"/>
      <c r="E22" s="117">
        <f t="shared" si="6"/>
        <v>2004</v>
      </c>
      <c r="F22" s="52">
        <f>LOOKUP(E22,Total_wind_installed_capacity!$A$3:$A$28,Total_wind_installed_capacity!$H$3:$H$28)</f>
        <v>46.3964675</v>
      </c>
      <c r="G22" s="13" t="s">
        <v>27</v>
      </c>
      <c r="H22" s="129"/>
      <c r="I22" s="130" t="s">
        <v>205</v>
      </c>
      <c r="J22" s="129">
        <v>2000</v>
      </c>
      <c r="K22" s="13">
        <f t="shared" si="7"/>
        <v>80</v>
      </c>
      <c r="L22" s="131">
        <f>80*J22</f>
        <v>160000</v>
      </c>
      <c r="M22" s="129" t="s">
        <v>180</v>
      </c>
      <c r="N22" s="129" t="s">
        <v>359</v>
      </c>
      <c r="O22" s="129"/>
      <c r="P22" s="128">
        <v>60</v>
      </c>
      <c r="Q22" s="131" t="s">
        <v>340</v>
      </c>
      <c r="R22" s="224">
        <f>AA22*100/Z22</f>
        <v>174936069114.47086</v>
      </c>
      <c r="S22" s="224"/>
      <c r="T22" s="129"/>
      <c r="U22" s="129"/>
      <c r="V22" s="225">
        <f t="shared" si="0"/>
        <v>1093.3504319654428</v>
      </c>
      <c r="W22" s="132"/>
      <c r="X22" s="223">
        <f t="shared" si="1"/>
        <v>303.70845332373409</v>
      </c>
      <c r="Y22" s="6"/>
      <c r="Z22" s="129">
        <v>0.27779999999999999</v>
      </c>
      <c r="AA22" s="224">
        <f>6074655*80</f>
        <v>485972400</v>
      </c>
      <c r="AB22" s="128"/>
      <c r="AC22" s="132">
        <f>AA22/L22/1000</f>
        <v>3.0373275</v>
      </c>
      <c r="AD22" s="129"/>
      <c r="AE22" s="140"/>
      <c r="AF22" s="128"/>
      <c r="AG22" s="128"/>
      <c r="AH22" s="141"/>
      <c r="AI22" s="133">
        <v>0.46159999999999995</v>
      </c>
      <c r="AJ22" s="224">
        <f t="shared" si="8"/>
        <v>646978559.99999988</v>
      </c>
      <c r="AK22" s="133"/>
      <c r="AL22" s="129">
        <v>20</v>
      </c>
      <c r="AM22" s="224">
        <f>L22*8760*AI22*AL22</f>
        <v>12939571199.999998</v>
      </c>
      <c r="AN22" s="224">
        <f t="shared" si="9"/>
        <v>80872319.999999985</v>
      </c>
      <c r="AO22" s="109"/>
      <c r="AP22" s="109"/>
      <c r="AQ22" s="132">
        <f t="shared" si="2"/>
        <v>0.26628274292317827</v>
      </c>
      <c r="AR22" s="132"/>
      <c r="AS22" s="132"/>
      <c r="AT22" s="132"/>
      <c r="AU22" s="132">
        <f t="shared" si="10"/>
        <v>3.7554067117616285</v>
      </c>
      <c r="AV22" s="129"/>
      <c r="AW22" s="112">
        <f t="shared" si="4"/>
        <v>75.108134235232569</v>
      </c>
      <c r="AX22" s="129"/>
      <c r="AY22" s="129"/>
    </row>
    <row r="23" spans="1:52" ht="13" customHeight="1">
      <c r="A23" s="13" t="str">
        <f t="shared" si="5"/>
        <v>\cite{Tremeac2009}</v>
      </c>
      <c r="B23" s="134" t="s">
        <v>409</v>
      </c>
      <c r="C23" s="135">
        <v>2009</v>
      </c>
      <c r="D23" s="135"/>
      <c r="E23" s="13">
        <f t="shared" si="6"/>
        <v>2009</v>
      </c>
      <c r="F23" s="52">
        <f>LOOKUP(E23,Total_wind_installed_capacity!$A$3:$A$28,Total_wind_installed_capacity!$H$3:$H$28)</f>
        <v>151.3704745</v>
      </c>
      <c r="G23" s="136" t="s">
        <v>339</v>
      </c>
      <c r="H23" s="136"/>
      <c r="I23" s="137" t="s">
        <v>410</v>
      </c>
      <c r="J23" s="136">
        <v>0.25</v>
      </c>
      <c r="K23" s="13">
        <f t="shared" si="7"/>
        <v>1</v>
      </c>
      <c r="L23" s="138">
        <v>0.25</v>
      </c>
      <c r="M23" s="136" t="s">
        <v>180</v>
      </c>
      <c r="N23" s="13" t="s">
        <v>339</v>
      </c>
      <c r="O23" s="136"/>
      <c r="P23" s="134"/>
      <c r="Q23" s="138" t="s">
        <v>356</v>
      </c>
      <c r="R23" s="224">
        <v>2830</v>
      </c>
      <c r="S23" s="224"/>
      <c r="T23" s="136"/>
      <c r="U23" s="136"/>
      <c r="V23" s="225">
        <f t="shared" si="0"/>
        <v>11.32</v>
      </c>
      <c r="W23" s="103"/>
      <c r="X23" s="223">
        <f t="shared" si="1"/>
        <v>3.1444444444444444</v>
      </c>
      <c r="Y23" s="6"/>
      <c r="Z23" s="136">
        <v>0.35</v>
      </c>
      <c r="AA23" s="224">
        <f>R23*Z23</f>
        <v>990.49999999999989</v>
      </c>
      <c r="AB23" s="136"/>
      <c r="AC23" s="103">
        <f>AA23/L23/1000</f>
        <v>3.9619999999999997</v>
      </c>
      <c r="AD23" s="136"/>
      <c r="AE23" s="137"/>
      <c r="AF23" s="136"/>
      <c r="AG23" s="136"/>
      <c r="AH23" s="138"/>
      <c r="AI23" s="139">
        <v>5.5E-2</v>
      </c>
      <c r="AJ23" s="224">
        <f t="shared" si="8"/>
        <v>120.45</v>
      </c>
      <c r="AK23" s="139"/>
      <c r="AL23" s="135">
        <v>20</v>
      </c>
      <c r="AM23" s="224">
        <f>120*AL23</f>
        <v>2400</v>
      </c>
      <c r="AN23" s="224">
        <f t="shared" si="9"/>
        <v>9600000</v>
      </c>
      <c r="AO23" s="142"/>
      <c r="AP23" s="142"/>
      <c r="AQ23" s="103">
        <f t="shared" si="2"/>
        <v>3.0530035335689045</v>
      </c>
      <c r="AR23" s="103"/>
      <c r="AS23" s="103"/>
      <c r="AT23" s="103"/>
      <c r="AU23" s="103">
        <f t="shared" si="10"/>
        <v>0.32754629629629628</v>
      </c>
      <c r="AV23" s="136"/>
      <c r="AW23" s="112">
        <f t="shared" si="4"/>
        <v>6.5509259259259256</v>
      </c>
      <c r="AX23" s="136"/>
      <c r="AY23" s="136"/>
    </row>
    <row r="24" spans="1:52" ht="13" customHeight="1">
      <c r="A24" s="13" t="str">
        <f t="shared" si="5"/>
        <v>\cite{Vestas2011}</v>
      </c>
      <c r="B24" s="2" t="s">
        <v>399</v>
      </c>
      <c r="C24" s="13">
        <v>2011</v>
      </c>
      <c r="D24" s="13"/>
      <c r="E24" s="13">
        <f t="shared" si="6"/>
        <v>2011</v>
      </c>
      <c r="F24" s="52">
        <f>LOOKUP(E24,Total_wind_installed_capacity!$A$3:$A$28,Total_wind_installed_capacity!$H$3:$H$28)</f>
        <v>227.632904</v>
      </c>
      <c r="G24" s="13" t="s">
        <v>27</v>
      </c>
      <c r="H24" s="13"/>
      <c r="I24" s="18" t="s">
        <v>205</v>
      </c>
      <c r="J24" s="13">
        <v>1800</v>
      </c>
      <c r="K24" s="13">
        <f t="shared" si="7"/>
        <v>28</v>
      </c>
      <c r="L24" s="52">
        <f>28*J24</f>
        <v>50400</v>
      </c>
      <c r="M24" s="13" t="s">
        <v>411</v>
      </c>
      <c r="N24" s="13" t="s">
        <v>339</v>
      </c>
      <c r="O24" s="13"/>
      <c r="Q24" s="52" t="s">
        <v>356</v>
      </c>
      <c r="R24" s="224">
        <f>0.159*AM24</f>
        <v>597204000</v>
      </c>
      <c r="S24" s="224"/>
      <c r="T24" s="13"/>
      <c r="U24" s="13"/>
      <c r="V24" s="225">
        <f t="shared" si="0"/>
        <v>11.849285714285713</v>
      </c>
      <c r="W24" s="103"/>
      <c r="X24" s="223">
        <f t="shared" si="1"/>
        <v>3.2914682539682536</v>
      </c>
      <c r="Y24" s="6"/>
      <c r="Z24" s="13">
        <v>0</v>
      </c>
      <c r="AA24" s="224"/>
      <c r="AB24" s="13"/>
      <c r="AC24" s="13"/>
      <c r="AD24" s="13"/>
      <c r="AE24" s="18"/>
      <c r="AF24" s="13"/>
      <c r="AG24" s="13"/>
      <c r="AH24" s="52"/>
      <c r="AI24" s="110">
        <v>0.42536420961078492</v>
      </c>
      <c r="AJ24" s="224">
        <f t="shared" si="8"/>
        <v>187799999.99999997</v>
      </c>
      <c r="AK24" s="110"/>
      <c r="AL24" s="13">
        <v>20</v>
      </c>
      <c r="AM24" s="224">
        <v>3756000000</v>
      </c>
      <c r="AN24" s="224">
        <f t="shared" si="9"/>
        <v>74523809.523809522</v>
      </c>
      <c r="AO24" s="109"/>
      <c r="AP24" s="109"/>
      <c r="AQ24" s="103">
        <f t="shared" si="2"/>
        <v>22.641509433962263</v>
      </c>
      <c r="AR24" s="103"/>
      <c r="AS24" s="103"/>
      <c r="AT24" s="103"/>
      <c r="AU24" s="103">
        <f t="shared" si="10"/>
        <v>4.4166666666666667E-2</v>
      </c>
      <c r="AV24" s="13"/>
      <c r="AW24" s="112">
        <f t="shared" si="4"/>
        <v>0.8833333333333333</v>
      </c>
      <c r="AX24" s="13"/>
      <c r="AY24" s="13"/>
    </row>
    <row r="25" spans="1:52" s="116" customFormat="1" ht="16">
      <c r="A25" s="13" t="str">
        <f t="shared" si="5"/>
        <v>\cite{Tremeac2009}</v>
      </c>
      <c r="B25" s="2" t="s">
        <v>409</v>
      </c>
      <c r="C25" s="13">
        <v>2009</v>
      </c>
      <c r="D25" s="13"/>
      <c r="E25" s="13">
        <f t="shared" si="6"/>
        <v>2009</v>
      </c>
      <c r="F25" s="52">
        <f>LOOKUP(E25,Total_wind_installed_capacity!$A$3:$A$28,Total_wind_installed_capacity!$H$3:$H$28)</f>
        <v>151.3704745</v>
      </c>
      <c r="G25" s="13" t="s">
        <v>339</v>
      </c>
      <c r="H25" s="13"/>
      <c r="I25" s="18" t="s">
        <v>410</v>
      </c>
      <c r="J25" s="13">
        <v>4500</v>
      </c>
      <c r="K25" s="13">
        <f t="shared" si="7"/>
        <v>1</v>
      </c>
      <c r="L25" s="52">
        <v>4500</v>
      </c>
      <c r="M25" s="13" t="s">
        <v>405</v>
      </c>
      <c r="N25" s="13" t="s">
        <v>339</v>
      </c>
      <c r="O25" s="13">
        <v>113</v>
      </c>
      <c r="P25" s="2">
        <v>124</v>
      </c>
      <c r="Q25" s="52" t="s">
        <v>356</v>
      </c>
      <c r="R25" s="224">
        <v>70152000</v>
      </c>
      <c r="S25" s="224"/>
      <c r="T25" s="13"/>
      <c r="U25" s="13"/>
      <c r="V25" s="225">
        <f t="shared" si="0"/>
        <v>15.589333333333334</v>
      </c>
      <c r="W25" s="6"/>
      <c r="X25" s="223">
        <f t="shared" si="1"/>
        <v>4.3303703703703702</v>
      </c>
      <c r="Y25" s="6"/>
      <c r="Z25" s="13">
        <v>0.35</v>
      </c>
      <c r="AA25" s="224">
        <f>R25*Z25</f>
        <v>24553200</v>
      </c>
      <c r="AB25" s="13"/>
      <c r="AC25" s="6">
        <f>AA25/L25/1000</f>
        <v>5.4562666666666662</v>
      </c>
      <c r="AD25" s="13"/>
      <c r="AE25" s="18"/>
      <c r="AF25" s="13"/>
      <c r="AG25" s="13"/>
      <c r="AH25" s="52"/>
      <c r="AI25" s="110">
        <v>0.3</v>
      </c>
      <c r="AJ25" s="224">
        <f t="shared" si="8"/>
        <v>11826000</v>
      </c>
      <c r="AK25" s="110"/>
      <c r="AL25" s="13">
        <v>20</v>
      </c>
      <c r="AM25" s="224">
        <f>L25*8760*AI25*AL25</f>
        <v>236520000</v>
      </c>
      <c r="AN25" s="224">
        <f t="shared" si="9"/>
        <v>52560000</v>
      </c>
      <c r="AO25" s="109"/>
      <c r="AP25" s="109"/>
      <c r="AQ25" s="6">
        <f t="shared" si="2"/>
        <v>12.137529934998289</v>
      </c>
      <c r="AR25" s="6"/>
      <c r="AS25" s="6"/>
      <c r="AT25" s="6"/>
      <c r="AU25" s="6">
        <f t="shared" si="10"/>
        <v>8.2389086194261232E-2</v>
      </c>
      <c r="AV25" s="13"/>
      <c r="AW25" s="112">
        <f t="shared" si="4"/>
        <v>1.6477817238852246</v>
      </c>
      <c r="AX25" s="13"/>
      <c r="AY25" s="13"/>
      <c r="AZ25" s="115"/>
    </row>
    <row r="26" spans="1:52" s="116" customFormat="1" ht="17">
      <c r="A26" s="13" t="str">
        <f t="shared" si="5"/>
        <v>\cite{Kabir2012}</v>
      </c>
      <c r="B26" s="134" t="s">
        <v>401</v>
      </c>
      <c r="C26" s="135">
        <v>2012</v>
      </c>
      <c r="D26" s="135"/>
      <c r="E26" s="13">
        <f t="shared" si="6"/>
        <v>2012</v>
      </c>
      <c r="F26" s="52">
        <f>LOOKUP(E26,Total_wind_installed_capacity!$A$3:$A$28,Total_wind_installed_capacity!$H$3:$H$28)</f>
        <v>270.84683750000005</v>
      </c>
      <c r="G26" s="136" t="s">
        <v>339</v>
      </c>
      <c r="H26" s="136"/>
      <c r="I26" s="137" t="s">
        <v>119</v>
      </c>
      <c r="J26" s="136">
        <v>5</v>
      </c>
      <c r="K26" s="13">
        <f t="shared" si="7"/>
        <v>20</v>
      </c>
      <c r="L26" s="138">
        <v>100</v>
      </c>
      <c r="M26" s="136" t="s">
        <v>180</v>
      </c>
      <c r="N26" s="13" t="s">
        <v>339</v>
      </c>
      <c r="O26" s="136">
        <v>5.5</v>
      </c>
      <c r="P26" s="136">
        <v>36.6</v>
      </c>
      <c r="Q26" s="138" t="s">
        <v>340</v>
      </c>
      <c r="R26" s="224">
        <f>0.4243*AM26</f>
        <v>2163930</v>
      </c>
      <c r="S26" s="224"/>
      <c r="T26" s="136"/>
      <c r="U26" s="136"/>
      <c r="V26" s="225">
        <f t="shared" si="0"/>
        <v>21.639299999999999</v>
      </c>
      <c r="W26" s="103"/>
      <c r="X26" s="223">
        <f t="shared" si="1"/>
        <v>6.0109166666666658</v>
      </c>
      <c r="Y26" s="6"/>
      <c r="Z26" s="136">
        <v>0</v>
      </c>
      <c r="AA26" s="224"/>
      <c r="AB26" s="136"/>
      <c r="AC26" s="103"/>
      <c r="AD26" s="136"/>
      <c r="AE26" s="137"/>
      <c r="AF26" s="136"/>
      <c r="AG26" s="136"/>
      <c r="AH26" s="138"/>
      <c r="AI26" s="139">
        <v>0.23</v>
      </c>
      <c r="AJ26" s="224">
        <f t="shared" si="8"/>
        <v>201480</v>
      </c>
      <c r="AK26" s="139"/>
      <c r="AL26" s="135">
        <v>25</v>
      </c>
      <c r="AM26" s="224">
        <f>5100000</f>
        <v>5100000</v>
      </c>
      <c r="AN26" s="224">
        <f t="shared" si="9"/>
        <v>51000000</v>
      </c>
      <c r="AO26" s="142"/>
      <c r="AP26" s="142"/>
      <c r="AQ26" s="103">
        <f t="shared" si="2"/>
        <v>8.4845628093330205</v>
      </c>
      <c r="AR26" s="103"/>
      <c r="AS26" s="103"/>
      <c r="AT26" s="103"/>
      <c r="AU26" s="103">
        <f t="shared" si="10"/>
        <v>0.1178611111111111</v>
      </c>
      <c r="AV26" s="136"/>
      <c r="AW26" s="112">
        <f t="shared" si="4"/>
        <v>2.9465277777777774</v>
      </c>
      <c r="AX26" s="136"/>
      <c r="AY26" s="136"/>
      <c r="AZ26" s="115"/>
    </row>
    <row r="27" spans="1:52" ht="15" customHeight="1">
      <c r="A27" s="13" t="str">
        <f t="shared" si="5"/>
        <v>\cite{Crawford2009}</v>
      </c>
      <c r="B27" s="134" t="s">
        <v>412</v>
      </c>
      <c r="C27" s="135">
        <v>2009</v>
      </c>
      <c r="D27" s="135"/>
      <c r="E27" s="13">
        <f t="shared" si="6"/>
        <v>2009</v>
      </c>
      <c r="F27" s="52">
        <f>LOOKUP(E27,Total_wind_installed_capacity!$A$3:$A$28,Total_wind_installed_capacity!$H$3:$H$28)</f>
        <v>151.3704745</v>
      </c>
      <c r="G27" s="136" t="s">
        <v>404</v>
      </c>
      <c r="H27" s="136"/>
      <c r="I27" s="137"/>
      <c r="J27" s="136">
        <v>3000</v>
      </c>
      <c r="K27" s="13">
        <f t="shared" si="7"/>
        <v>1</v>
      </c>
      <c r="L27" s="138">
        <v>3000</v>
      </c>
      <c r="M27" s="136" t="s">
        <v>180</v>
      </c>
      <c r="N27" s="13" t="s">
        <v>339</v>
      </c>
      <c r="O27" s="136">
        <v>90</v>
      </c>
      <c r="P27" s="136">
        <v>80</v>
      </c>
      <c r="Q27" s="138" t="s">
        <v>356</v>
      </c>
      <c r="R27" s="224">
        <v>84237000</v>
      </c>
      <c r="S27" s="224">
        <v>0</v>
      </c>
      <c r="T27" s="136"/>
      <c r="U27" s="136"/>
      <c r="V27" s="225">
        <f t="shared" si="0"/>
        <v>28.079000000000001</v>
      </c>
      <c r="W27" s="103"/>
      <c r="X27" s="223">
        <f t="shared" si="1"/>
        <v>7.799722222222222</v>
      </c>
      <c r="Y27" s="6"/>
      <c r="Z27" s="136">
        <v>0.26340000000000002</v>
      </c>
      <c r="AA27" s="224">
        <f>R27*Z27</f>
        <v>22188025.800000001</v>
      </c>
      <c r="AB27" s="136">
        <v>0</v>
      </c>
      <c r="AC27" s="103">
        <f>AA27/L27/1000</f>
        <v>7.3960086</v>
      </c>
      <c r="AD27" s="136">
        <v>0</v>
      </c>
      <c r="AE27" s="137"/>
      <c r="AF27" s="136"/>
      <c r="AG27" s="136"/>
      <c r="AH27" s="138"/>
      <c r="AI27" s="139">
        <v>0.33</v>
      </c>
      <c r="AJ27" s="224">
        <f t="shared" si="8"/>
        <v>8672400</v>
      </c>
      <c r="AK27" s="139"/>
      <c r="AL27" s="135">
        <v>20</v>
      </c>
      <c r="AM27" s="224">
        <f>L27*8760*AI27*AL27</f>
        <v>173448000</v>
      </c>
      <c r="AN27" s="224">
        <f t="shared" si="9"/>
        <v>57816000</v>
      </c>
      <c r="AO27" s="109"/>
      <c r="AP27" s="109"/>
      <c r="AQ27" s="6">
        <f t="shared" si="2"/>
        <v>7.412571672780369</v>
      </c>
      <c r="AR27" s="6"/>
      <c r="AS27" s="6"/>
      <c r="AT27" s="6"/>
      <c r="AU27" s="103">
        <f t="shared" si="10"/>
        <v>0.1349059468351706</v>
      </c>
      <c r="AV27" s="103"/>
      <c r="AW27" s="112">
        <f t="shared" si="4"/>
        <v>2.6981189367034117</v>
      </c>
      <c r="AX27" s="103">
        <f>(5054+476)*1000000/AM27</f>
        <v>31.88275448549421</v>
      </c>
      <c r="AY27" s="136"/>
    </row>
    <row r="28" spans="1:52" ht="15" customHeight="1">
      <c r="A28" s="13" t="str">
        <f t="shared" si="5"/>
        <v>\cite{Crawford2009}</v>
      </c>
      <c r="B28" s="134" t="s">
        <v>412</v>
      </c>
      <c r="C28" s="135">
        <v>2009</v>
      </c>
      <c r="D28" s="135"/>
      <c r="E28" s="13">
        <f t="shared" si="6"/>
        <v>2009</v>
      </c>
      <c r="F28" s="52">
        <f>LOOKUP(E28,Total_wind_installed_capacity!$A$3:$A$28,Total_wind_installed_capacity!$H$3:$H$28)</f>
        <v>151.3704745</v>
      </c>
      <c r="G28" s="136" t="s">
        <v>404</v>
      </c>
      <c r="H28" s="136"/>
      <c r="I28" s="137"/>
      <c r="J28" s="136">
        <v>850</v>
      </c>
      <c r="K28" s="13">
        <f t="shared" si="7"/>
        <v>1</v>
      </c>
      <c r="L28" s="138">
        <v>850</v>
      </c>
      <c r="M28" s="136" t="s">
        <v>405</v>
      </c>
      <c r="N28" s="13" t="s">
        <v>339</v>
      </c>
      <c r="O28" s="136">
        <v>52</v>
      </c>
      <c r="P28" s="136">
        <v>60</v>
      </c>
      <c r="Q28" s="138" t="s">
        <v>356</v>
      </c>
      <c r="R28" s="224">
        <v>29388000</v>
      </c>
      <c r="S28" s="224">
        <v>0</v>
      </c>
      <c r="T28" s="136"/>
      <c r="U28" s="136"/>
      <c r="V28" s="225">
        <f t="shared" si="0"/>
        <v>34.574117647058827</v>
      </c>
      <c r="W28" s="103"/>
      <c r="X28" s="223">
        <f t="shared" si="1"/>
        <v>9.6039215686274524</v>
      </c>
      <c r="Y28" s="6"/>
      <c r="Z28" s="136">
        <v>0.26690000000000003</v>
      </c>
      <c r="AA28" s="224">
        <f>R28*Z28</f>
        <v>7843657.2000000011</v>
      </c>
      <c r="AB28" s="136">
        <v>0</v>
      </c>
      <c r="AC28" s="103">
        <f>AA28/L28/1000</f>
        <v>9.2278320000000029</v>
      </c>
      <c r="AD28" s="136">
        <v>0</v>
      </c>
      <c r="AE28" s="137"/>
      <c r="AF28" s="136"/>
      <c r="AG28" s="136"/>
      <c r="AH28" s="138"/>
      <c r="AI28" s="139">
        <v>0.34</v>
      </c>
      <c r="AJ28" s="224">
        <f t="shared" si="8"/>
        <v>2531640</v>
      </c>
      <c r="AK28" s="139"/>
      <c r="AL28" s="135">
        <v>20</v>
      </c>
      <c r="AM28" s="224">
        <f>L28*8760*AI28*AL28</f>
        <v>50632800</v>
      </c>
      <c r="AN28" s="224">
        <f t="shared" si="9"/>
        <v>59568000</v>
      </c>
      <c r="AO28" s="109"/>
      <c r="AP28" s="109"/>
      <c r="AQ28" s="6">
        <f t="shared" si="2"/>
        <v>6.2024663127807278</v>
      </c>
      <c r="AR28" s="6"/>
      <c r="AS28" s="6"/>
      <c r="AT28" s="6"/>
      <c r="AU28" s="103">
        <f t="shared" si="10"/>
        <v>0.16122618803094699</v>
      </c>
      <c r="AV28" s="103"/>
      <c r="AW28" s="112">
        <f t="shared" si="4"/>
        <v>3.2245237606189399</v>
      </c>
      <c r="AX28" s="103">
        <f>(1629+134)*1000000/AM28</f>
        <v>34.819326602518522</v>
      </c>
      <c r="AY28" s="136"/>
    </row>
    <row r="29" spans="1:52" ht="15" customHeight="1">
      <c r="A29" s="13" t="str">
        <f t="shared" si="5"/>
        <v>\cite{Wagner2011}</v>
      </c>
      <c r="B29" s="117" t="s">
        <v>413</v>
      </c>
      <c r="C29" s="117">
        <v>2011</v>
      </c>
      <c r="D29" s="117"/>
      <c r="E29" s="117">
        <f t="shared" si="6"/>
        <v>2011</v>
      </c>
      <c r="F29" s="52">
        <f>LOOKUP(E29,Total_wind_installed_capacity!$A$3:$A$28,Total_wind_installed_capacity!$H$3:$H$28)</f>
        <v>227.632904</v>
      </c>
      <c r="G29" s="117" t="s">
        <v>339</v>
      </c>
      <c r="H29" s="117"/>
      <c r="I29" s="118" t="s">
        <v>212</v>
      </c>
      <c r="J29" s="117">
        <v>5000</v>
      </c>
      <c r="K29" s="13">
        <f t="shared" si="7"/>
        <v>12</v>
      </c>
      <c r="L29" s="119">
        <f>12*J29</f>
        <v>60000</v>
      </c>
      <c r="M29" s="117" t="s">
        <v>414</v>
      </c>
      <c r="N29" s="117" t="s">
        <v>359</v>
      </c>
      <c r="O29" s="117"/>
      <c r="P29" s="120"/>
      <c r="Q29" s="119" t="s">
        <v>340</v>
      </c>
      <c r="R29" s="224">
        <v>2300000000</v>
      </c>
      <c r="S29" s="224"/>
      <c r="T29" s="117"/>
      <c r="U29" s="117"/>
      <c r="V29" s="225">
        <f t="shared" si="0"/>
        <v>38.333333333333336</v>
      </c>
      <c r="W29" s="121"/>
      <c r="X29" s="223">
        <f t="shared" si="1"/>
        <v>10.648148148148149</v>
      </c>
      <c r="Y29" s="6"/>
      <c r="Z29" s="117">
        <v>0</v>
      </c>
      <c r="AA29" s="224"/>
      <c r="AB29" s="117"/>
      <c r="AC29" s="121"/>
      <c r="AD29" s="117"/>
      <c r="AE29" s="118"/>
      <c r="AF29" s="117"/>
      <c r="AG29" s="117"/>
      <c r="AH29" s="119"/>
      <c r="AI29" s="122">
        <v>0.44520000000000004</v>
      </c>
      <c r="AJ29" s="224">
        <f t="shared" si="8"/>
        <v>233997120.00000003</v>
      </c>
      <c r="AK29" s="122"/>
      <c r="AL29" s="117">
        <v>20</v>
      </c>
      <c r="AM29" s="224">
        <v>4680000000</v>
      </c>
      <c r="AN29" s="224">
        <f t="shared" si="9"/>
        <v>78000000</v>
      </c>
      <c r="AO29" s="143"/>
      <c r="AP29" s="143"/>
      <c r="AQ29" s="121">
        <f t="shared" si="2"/>
        <v>7.3252173913043492</v>
      </c>
      <c r="AR29" s="121"/>
      <c r="AS29" s="121"/>
      <c r="AT29" s="121"/>
      <c r="AU29" s="121">
        <f t="shared" si="10"/>
        <v>0.13651471984805316</v>
      </c>
      <c r="AV29" s="117"/>
      <c r="AW29" s="112">
        <f t="shared" si="4"/>
        <v>2.7302943969610634</v>
      </c>
      <c r="AX29" s="117"/>
      <c r="AY29" s="117"/>
    </row>
    <row r="30" spans="1:52" s="116" customFormat="1" ht="15" customHeight="1">
      <c r="A30" s="13" t="str">
        <f t="shared" si="5"/>
        <v>\cite{Khan2005}</v>
      </c>
      <c r="B30" s="144" t="s">
        <v>415</v>
      </c>
      <c r="C30" s="145">
        <v>2005</v>
      </c>
      <c r="D30" s="145"/>
      <c r="E30" s="35">
        <f t="shared" si="6"/>
        <v>2005</v>
      </c>
      <c r="F30" s="52">
        <f>LOOKUP(E30,Total_wind_installed_capacity!$A$3:$A$28,Total_wind_installed_capacity!$H$3:$H$28)</f>
        <v>57.6165175</v>
      </c>
      <c r="G30" s="35" t="s">
        <v>339</v>
      </c>
      <c r="H30" s="35"/>
      <c r="I30" s="36" t="s">
        <v>119</v>
      </c>
      <c r="J30" s="35"/>
      <c r="K30" s="13" t="e">
        <f t="shared" si="7"/>
        <v>#DIV/0!</v>
      </c>
      <c r="L30" s="55"/>
      <c r="M30" s="35" t="s">
        <v>180</v>
      </c>
      <c r="N30" s="35" t="s">
        <v>339</v>
      </c>
      <c r="O30" s="35"/>
      <c r="P30" s="35"/>
      <c r="Q30" s="55" t="s">
        <v>356</v>
      </c>
      <c r="R30" s="35"/>
      <c r="S30" s="35"/>
      <c r="T30" s="35"/>
      <c r="U30" s="35"/>
      <c r="V30" s="45"/>
      <c r="W30" s="45"/>
      <c r="X30" s="45"/>
      <c r="Y30" s="45"/>
      <c r="Z30" s="35">
        <v>0</v>
      </c>
      <c r="AA30" s="35"/>
      <c r="AB30" s="35"/>
      <c r="AC30" s="45"/>
      <c r="AD30" s="35"/>
      <c r="AE30" s="36"/>
      <c r="AF30" s="35"/>
      <c r="AG30" s="35"/>
      <c r="AH30" s="55"/>
      <c r="AI30" s="45"/>
      <c r="AJ30" s="224">
        <f t="shared" si="8"/>
        <v>0</v>
      </c>
      <c r="AK30" s="45"/>
      <c r="AL30" s="145">
        <v>20</v>
      </c>
      <c r="AM30" s="35"/>
      <c r="AN30" s="224" t="e">
        <f t="shared" si="9"/>
        <v>#DIV/0!</v>
      </c>
      <c r="AO30" s="146"/>
      <c r="AP30" s="146"/>
      <c r="AQ30" s="45">
        <f t="shared" si="2"/>
        <v>34.308848251964186</v>
      </c>
      <c r="AR30" s="45"/>
      <c r="AS30" s="45"/>
      <c r="AT30" s="45"/>
      <c r="AU30" s="45">
        <v>2.9146999999999999E-2</v>
      </c>
      <c r="AV30" s="35"/>
      <c r="AW30" s="55">
        <v>0.16</v>
      </c>
      <c r="AX30" s="35"/>
      <c r="AY30" s="35"/>
      <c r="AZ30" s="115"/>
    </row>
    <row r="31" spans="1:52" ht="15" customHeight="1">
      <c r="A31" s="13" t="str">
        <f t="shared" si="5"/>
        <v>\cite{Khan2005}</v>
      </c>
      <c r="B31" s="144" t="s">
        <v>415</v>
      </c>
      <c r="C31" s="145">
        <v>2005</v>
      </c>
      <c r="D31" s="145"/>
      <c r="E31" s="35">
        <f t="shared" si="6"/>
        <v>2005</v>
      </c>
      <c r="F31" s="52">
        <f>LOOKUP(E31,Total_wind_installed_capacity!$A$3:$A$28,Total_wind_installed_capacity!$H$3:$H$28)</f>
        <v>57.6165175</v>
      </c>
      <c r="G31" s="35" t="s">
        <v>339</v>
      </c>
      <c r="H31" s="35"/>
      <c r="I31" s="36" t="s">
        <v>119</v>
      </c>
      <c r="J31" s="35"/>
      <c r="K31" s="13" t="e">
        <f t="shared" si="7"/>
        <v>#DIV/0!</v>
      </c>
      <c r="L31" s="55"/>
      <c r="M31" s="35" t="s">
        <v>180</v>
      </c>
      <c r="N31" s="35" t="s">
        <v>339</v>
      </c>
      <c r="O31" s="35"/>
      <c r="P31" s="35"/>
      <c r="Q31" s="55" t="s">
        <v>356</v>
      </c>
      <c r="R31" s="35"/>
      <c r="S31" s="35"/>
      <c r="T31" s="35"/>
      <c r="U31" s="35"/>
      <c r="V31" s="45"/>
      <c r="W31" s="45"/>
      <c r="X31" s="45"/>
      <c r="Y31" s="45"/>
      <c r="Z31" s="35">
        <v>0</v>
      </c>
      <c r="AA31" s="35"/>
      <c r="AB31" s="35"/>
      <c r="AC31" s="45"/>
      <c r="AD31" s="35"/>
      <c r="AE31" s="36"/>
      <c r="AF31" s="35"/>
      <c r="AG31" s="35"/>
      <c r="AH31" s="55"/>
      <c r="AI31" s="45"/>
      <c r="AJ31" s="224">
        <f t="shared" si="8"/>
        <v>0</v>
      </c>
      <c r="AK31" s="45"/>
      <c r="AL31" s="145">
        <v>20</v>
      </c>
      <c r="AM31" s="35"/>
      <c r="AN31" s="224" t="e">
        <f t="shared" si="9"/>
        <v>#DIV/0!</v>
      </c>
      <c r="AO31" s="146"/>
      <c r="AP31" s="146"/>
      <c r="AQ31" s="45">
        <f t="shared" si="2"/>
        <v>34.933277440089434</v>
      </c>
      <c r="AR31" s="45"/>
      <c r="AS31" s="45"/>
      <c r="AT31" s="45"/>
      <c r="AU31" s="45">
        <v>2.8625999999999999E-2</v>
      </c>
      <c r="AV31" s="35"/>
      <c r="AW31" s="55">
        <v>0.16</v>
      </c>
      <c r="AX31" s="35"/>
      <c r="AY31" s="35"/>
    </row>
    <row r="32" spans="1:52" s="154" customFormat="1" ht="15" customHeight="1" thickBot="1">
      <c r="A32" s="60" t="str">
        <f t="shared" si="5"/>
        <v>\cite{Khan2005}</v>
      </c>
      <c r="B32" s="147" t="s">
        <v>415</v>
      </c>
      <c r="C32" s="148">
        <v>2005</v>
      </c>
      <c r="D32" s="148"/>
      <c r="E32" s="149">
        <f t="shared" si="6"/>
        <v>2005</v>
      </c>
      <c r="F32" s="64">
        <f>LOOKUP(E32,Total_wind_installed_capacity!$A$3:$A$28,Total_wind_installed_capacity!$H$3:$H$28)</f>
        <v>57.6165175</v>
      </c>
      <c r="G32" s="149" t="s">
        <v>339</v>
      </c>
      <c r="H32" s="149"/>
      <c r="I32" s="150" t="s">
        <v>119</v>
      </c>
      <c r="J32" s="149"/>
      <c r="K32" s="13" t="e">
        <f t="shared" si="7"/>
        <v>#DIV/0!</v>
      </c>
      <c r="L32" s="151"/>
      <c r="M32" s="149" t="s">
        <v>180</v>
      </c>
      <c r="N32" s="149" t="s">
        <v>339</v>
      </c>
      <c r="O32" s="149"/>
      <c r="P32" s="149"/>
      <c r="Q32" s="151" t="s">
        <v>356</v>
      </c>
      <c r="R32" s="149"/>
      <c r="S32" s="149"/>
      <c r="T32" s="149"/>
      <c r="U32" s="149"/>
      <c r="V32" s="152"/>
      <c r="W32" s="152"/>
      <c r="X32" s="152"/>
      <c r="Y32" s="152"/>
      <c r="Z32" s="149">
        <v>0</v>
      </c>
      <c r="AA32" s="149"/>
      <c r="AB32" s="149"/>
      <c r="AC32" s="152"/>
      <c r="AD32" s="149"/>
      <c r="AE32" s="150"/>
      <c r="AF32" s="149"/>
      <c r="AG32" s="149"/>
      <c r="AH32" s="151"/>
      <c r="AI32" s="152"/>
      <c r="AJ32" s="227">
        <f t="shared" si="8"/>
        <v>0</v>
      </c>
      <c r="AK32" s="152"/>
      <c r="AL32" s="148">
        <v>20</v>
      </c>
      <c r="AM32" s="149"/>
      <c r="AN32" s="224" t="e">
        <f t="shared" si="9"/>
        <v>#DIV/0!</v>
      </c>
      <c r="AO32" s="149"/>
      <c r="AP32" s="149"/>
      <c r="AQ32" s="152">
        <f t="shared" si="2"/>
        <v>30.436767615279255</v>
      </c>
      <c r="AR32" s="152"/>
      <c r="AS32" s="152"/>
      <c r="AT32" s="152"/>
      <c r="AU32" s="152">
        <v>3.2855000000000002E-2</v>
      </c>
      <c r="AV32" s="149"/>
      <c r="AW32" s="151">
        <v>0.16</v>
      </c>
      <c r="AX32" s="149"/>
      <c r="AY32" s="149"/>
      <c r="AZ32" s="153"/>
    </row>
    <row r="33" spans="3:51" s="94" customFormat="1" ht="15" thickTop="1">
      <c r="C33" s="13"/>
      <c r="D33" s="13"/>
      <c r="E33" s="13"/>
      <c r="F33" s="52"/>
      <c r="G33" s="13"/>
      <c r="H33" s="13"/>
      <c r="I33" s="18"/>
      <c r="J33" s="13"/>
      <c r="K33" s="13"/>
      <c r="L33" s="52"/>
      <c r="M33" s="13"/>
      <c r="N33" s="13"/>
      <c r="O33" s="13"/>
      <c r="P33" s="2"/>
      <c r="Q33" s="52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8"/>
      <c r="AF33" s="13"/>
      <c r="AG33" s="13"/>
      <c r="AH33" s="52"/>
      <c r="AI33" s="13"/>
      <c r="AJ33" s="13"/>
      <c r="AK33" s="13"/>
      <c r="AL33" s="13"/>
      <c r="AM33" s="13"/>
      <c r="AN33" s="52"/>
      <c r="AO33" s="13"/>
      <c r="AP33" s="13"/>
      <c r="AQ33" s="6"/>
      <c r="AR33" s="6"/>
      <c r="AS33" s="6"/>
      <c r="AT33" s="6"/>
      <c r="AU33" s="6"/>
      <c r="AV33" s="13"/>
      <c r="AW33" s="52"/>
      <c r="AX33" s="13"/>
      <c r="AY33" s="13"/>
    </row>
    <row r="34" spans="3:51" s="94" customFormat="1">
      <c r="C34" s="13"/>
      <c r="D34" s="13"/>
      <c r="E34" s="13"/>
      <c r="F34" s="52"/>
      <c r="G34" s="13"/>
      <c r="H34" s="13"/>
      <c r="I34" s="18"/>
      <c r="J34" s="13"/>
      <c r="K34" s="13"/>
      <c r="L34" s="52"/>
      <c r="M34" s="13"/>
      <c r="N34" s="13"/>
      <c r="O34" s="13"/>
      <c r="P34" s="2"/>
      <c r="Q34" s="52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8"/>
      <c r="AF34" s="13"/>
      <c r="AG34" s="13"/>
      <c r="AH34" s="52"/>
      <c r="AI34" s="13"/>
      <c r="AJ34" s="13"/>
      <c r="AK34" s="13"/>
      <c r="AL34" s="13"/>
      <c r="AM34" s="13"/>
      <c r="AN34" s="52"/>
      <c r="AO34" s="13"/>
      <c r="AP34" s="13"/>
      <c r="AQ34" s="6"/>
      <c r="AR34" s="6"/>
      <c r="AS34" s="6"/>
      <c r="AT34" s="6"/>
      <c r="AU34" s="6"/>
      <c r="AV34" s="13"/>
      <c r="AW34" s="52"/>
      <c r="AX34" s="13"/>
      <c r="AY34" s="13"/>
    </row>
    <row r="35" spans="3:51" s="94" customFormat="1">
      <c r="C35" s="13"/>
      <c r="D35" s="13"/>
      <c r="E35" s="13"/>
      <c r="F35" s="52"/>
      <c r="G35" s="13"/>
      <c r="H35" s="13"/>
      <c r="I35" s="18"/>
      <c r="J35" s="13"/>
      <c r="K35" s="13"/>
      <c r="L35" s="52"/>
      <c r="M35" s="13"/>
      <c r="N35" s="13"/>
      <c r="O35" s="13"/>
      <c r="P35" s="2"/>
      <c r="Q35" s="52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8"/>
      <c r="AF35" s="13"/>
      <c r="AG35" s="13"/>
      <c r="AH35" s="52"/>
      <c r="AI35" s="13"/>
      <c r="AJ35" s="13"/>
      <c r="AK35" s="13"/>
      <c r="AL35" s="13"/>
      <c r="AM35" s="13"/>
      <c r="AN35" s="52"/>
      <c r="AO35" s="13"/>
      <c r="AP35" s="13"/>
      <c r="AQ35" s="6"/>
      <c r="AR35" s="6"/>
      <c r="AS35" s="6"/>
      <c r="AT35" s="6"/>
      <c r="AU35" s="6"/>
      <c r="AV35" s="13"/>
      <c r="AW35" s="52"/>
      <c r="AX35" s="13"/>
      <c r="AY35" s="13"/>
    </row>
    <row r="36" spans="3:51" s="94" customFormat="1">
      <c r="C36" s="13"/>
      <c r="D36" s="13"/>
      <c r="E36" s="13"/>
      <c r="F36" s="52"/>
      <c r="G36" s="13"/>
      <c r="H36" s="13"/>
      <c r="I36" s="18"/>
      <c r="J36" s="13"/>
      <c r="K36" s="13"/>
      <c r="L36" s="52"/>
      <c r="M36" s="13"/>
      <c r="N36" s="13"/>
      <c r="O36" s="13"/>
      <c r="P36" s="2"/>
      <c r="Q36" s="52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8"/>
      <c r="AF36" s="13"/>
      <c r="AG36" s="13"/>
      <c r="AH36" s="52"/>
      <c r="AI36" s="13"/>
      <c r="AJ36" s="13"/>
      <c r="AK36" s="13"/>
      <c r="AL36" s="13"/>
      <c r="AM36" s="13"/>
      <c r="AN36" s="52"/>
      <c r="AO36" s="13"/>
      <c r="AP36" s="13"/>
      <c r="AQ36" s="6"/>
      <c r="AR36" s="6"/>
      <c r="AS36" s="6"/>
      <c r="AT36" s="6"/>
      <c r="AU36" s="6"/>
      <c r="AV36" s="13"/>
      <c r="AW36" s="52"/>
      <c r="AX36" s="13"/>
      <c r="AY36" s="13"/>
    </row>
    <row r="37" spans="3:51" s="94" customFormat="1">
      <c r="C37" s="13"/>
      <c r="D37" s="13"/>
      <c r="E37" s="13"/>
      <c r="F37" s="52"/>
      <c r="G37" s="13"/>
      <c r="H37" s="13"/>
      <c r="I37" s="18"/>
      <c r="J37" s="13"/>
      <c r="K37" s="13"/>
      <c r="L37" s="52"/>
      <c r="M37" s="13"/>
      <c r="N37" s="13"/>
      <c r="O37" s="13"/>
      <c r="P37" s="13"/>
      <c r="Q37" s="52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8"/>
      <c r="AF37" s="13"/>
      <c r="AG37" s="13"/>
      <c r="AH37" s="52"/>
      <c r="AI37" s="13"/>
      <c r="AJ37" s="13"/>
      <c r="AK37" s="13"/>
      <c r="AL37" s="13"/>
      <c r="AM37" s="13"/>
      <c r="AN37" s="52"/>
      <c r="AO37" s="13"/>
      <c r="AP37" s="13"/>
      <c r="AQ37" s="6"/>
      <c r="AR37" s="6"/>
      <c r="AS37" s="6"/>
      <c r="AT37" s="6"/>
      <c r="AU37" s="6"/>
      <c r="AV37" s="13"/>
      <c r="AW37" s="52"/>
      <c r="AX37" s="13"/>
      <c r="AY37" s="13"/>
    </row>
    <row r="38" spans="3:51" s="94" customFormat="1">
      <c r="C38" s="13"/>
      <c r="D38" s="13"/>
      <c r="E38" s="13"/>
      <c r="F38" s="52"/>
      <c r="G38" s="13"/>
      <c r="H38" s="13"/>
      <c r="I38" s="18"/>
      <c r="J38" s="13"/>
      <c r="K38" s="13"/>
      <c r="L38" s="52"/>
      <c r="M38" s="13"/>
      <c r="N38" s="13"/>
      <c r="O38" s="13"/>
      <c r="P38" s="13"/>
      <c r="Q38" s="52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8"/>
      <c r="AF38" s="13"/>
      <c r="AG38" s="13"/>
      <c r="AH38" s="52"/>
      <c r="AI38" s="13"/>
      <c r="AJ38" s="13"/>
      <c r="AK38" s="13"/>
      <c r="AL38" s="13"/>
      <c r="AM38" s="13"/>
      <c r="AN38" s="52"/>
      <c r="AO38" s="13"/>
      <c r="AP38" s="13"/>
      <c r="AQ38" s="6"/>
      <c r="AR38" s="6"/>
      <c r="AS38" s="6"/>
      <c r="AT38" s="6"/>
      <c r="AU38" s="6"/>
      <c r="AV38" s="13"/>
      <c r="AW38" s="52"/>
      <c r="AX38" s="13"/>
      <c r="AY38" s="13"/>
    </row>
    <row r="39" spans="3:51" s="94" customFormat="1">
      <c r="C39" s="13"/>
      <c r="D39" s="13"/>
      <c r="E39" s="13"/>
      <c r="F39" s="52"/>
      <c r="G39" s="13"/>
      <c r="H39" s="13"/>
      <c r="I39" s="18"/>
      <c r="J39" s="13"/>
      <c r="K39" s="13"/>
      <c r="L39" s="52"/>
      <c r="M39" s="13"/>
      <c r="N39" s="13"/>
      <c r="O39" s="13"/>
      <c r="P39" s="13"/>
      <c r="Q39" s="52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8"/>
      <c r="AF39" s="13"/>
      <c r="AG39" s="13"/>
      <c r="AH39" s="52"/>
      <c r="AI39" s="13"/>
      <c r="AJ39" s="13"/>
      <c r="AK39" s="13"/>
      <c r="AL39" s="13"/>
      <c r="AM39" s="13"/>
      <c r="AN39" s="52"/>
      <c r="AO39" s="13"/>
      <c r="AP39" s="13"/>
      <c r="AQ39" s="6"/>
      <c r="AR39" s="6"/>
      <c r="AS39" s="6"/>
      <c r="AT39" s="6"/>
      <c r="AU39" s="6"/>
      <c r="AV39" s="13"/>
      <c r="AW39" s="52"/>
      <c r="AX39" s="13"/>
      <c r="AY39" s="13"/>
    </row>
    <row r="40" spans="3:51" s="94" customFormat="1">
      <c r="C40" s="13"/>
      <c r="D40" s="13"/>
      <c r="E40" s="13"/>
      <c r="F40" s="52"/>
      <c r="G40" s="13"/>
      <c r="H40" s="13"/>
      <c r="I40" s="18"/>
      <c r="J40" s="13"/>
      <c r="K40" s="13"/>
      <c r="L40" s="52"/>
      <c r="M40" s="13"/>
      <c r="N40" s="13"/>
      <c r="O40" s="13"/>
      <c r="P40" s="13"/>
      <c r="Q40" s="52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8"/>
      <c r="AF40" s="13"/>
      <c r="AG40" s="13"/>
      <c r="AH40" s="52"/>
      <c r="AI40" s="13"/>
      <c r="AJ40" s="13"/>
      <c r="AK40" s="13"/>
      <c r="AL40" s="13"/>
      <c r="AM40" s="13"/>
      <c r="AN40" s="52"/>
      <c r="AO40" s="13"/>
      <c r="AP40" s="13"/>
      <c r="AQ40" s="6"/>
      <c r="AR40" s="6"/>
      <c r="AS40" s="6"/>
      <c r="AT40" s="6"/>
      <c r="AU40" s="6"/>
      <c r="AV40" s="13"/>
      <c r="AW40" s="52"/>
      <c r="AX40" s="13"/>
      <c r="AY40" s="13"/>
    </row>
    <row r="41" spans="3:51" s="94" customFormat="1">
      <c r="C41" s="13"/>
      <c r="D41" s="13"/>
      <c r="E41" s="13"/>
      <c r="F41" s="52"/>
      <c r="G41" s="13"/>
      <c r="H41" s="13"/>
      <c r="I41" s="18"/>
      <c r="J41" s="13"/>
      <c r="K41" s="13"/>
      <c r="L41" s="52"/>
      <c r="M41" s="13"/>
      <c r="N41" s="13"/>
      <c r="O41" s="13"/>
      <c r="P41" s="13"/>
      <c r="Q41" s="52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8"/>
      <c r="AF41" s="13"/>
      <c r="AG41" s="13"/>
      <c r="AH41" s="52"/>
      <c r="AI41" s="13"/>
      <c r="AJ41" s="13"/>
      <c r="AK41" s="13"/>
      <c r="AL41" s="13"/>
      <c r="AM41" s="13"/>
      <c r="AN41" s="52"/>
      <c r="AO41" s="13"/>
      <c r="AP41" s="13"/>
      <c r="AQ41" s="6"/>
      <c r="AR41" s="6"/>
      <c r="AS41" s="6"/>
      <c r="AT41" s="6"/>
      <c r="AU41" s="6"/>
      <c r="AV41" s="13"/>
      <c r="AW41" s="52"/>
      <c r="AX41" s="13"/>
      <c r="AY41" s="13"/>
    </row>
    <row r="42" spans="3:51" s="94" customFormat="1">
      <c r="C42" s="13"/>
      <c r="D42" s="13"/>
      <c r="E42" s="13"/>
      <c r="F42" s="52"/>
      <c r="G42" s="13"/>
      <c r="H42" s="13"/>
      <c r="I42" s="18"/>
      <c r="J42" s="13"/>
      <c r="K42" s="13"/>
      <c r="L42" s="52"/>
      <c r="M42" s="13"/>
      <c r="N42" s="13"/>
      <c r="O42" s="13"/>
      <c r="P42" s="13"/>
      <c r="Q42" s="52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8"/>
      <c r="AF42" s="13"/>
      <c r="AG42" s="13"/>
      <c r="AH42" s="52"/>
      <c r="AI42" s="13"/>
      <c r="AJ42" s="13"/>
      <c r="AK42" s="13"/>
      <c r="AL42" s="13"/>
      <c r="AM42" s="13"/>
      <c r="AN42" s="52"/>
      <c r="AO42" s="13"/>
      <c r="AP42" s="13"/>
      <c r="AQ42" s="6"/>
      <c r="AR42" s="6"/>
      <c r="AS42" s="6"/>
      <c r="AT42" s="6"/>
      <c r="AU42" s="6"/>
      <c r="AV42" s="13"/>
      <c r="AW42" s="52"/>
      <c r="AX42" s="13"/>
      <c r="AY42" s="13"/>
    </row>
    <row r="43" spans="3:51" s="94" customFormat="1">
      <c r="C43" s="2"/>
      <c r="D43" s="2"/>
      <c r="E43" s="2"/>
      <c r="G43" s="2"/>
      <c r="H43" s="2"/>
      <c r="I43" s="3"/>
      <c r="J43" s="2"/>
      <c r="K43" s="2"/>
      <c r="M43" s="2"/>
      <c r="N43" s="2"/>
      <c r="O43" s="2"/>
      <c r="P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3"/>
      <c r="AF43" s="2"/>
      <c r="AG43" s="2"/>
      <c r="AI43" s="2"/>
      <c r="AJ43" s="2"/>
      <c r="AK43" s="2"/>
      <c r="AL43" s="2"/>
      <c r="AM43" s="2"/>
      <c r="AO43" s="2"/>
      <c r="AP43" s="2"/>
      <c r="AQ43" s="4"/>
      <c r="AR43" s="4"/>
      <c r="AS43" s="4"/>
      <c r="AT43" s="4"/>
      <c r="AU43" s="4"/>
      <c r="AV43" s="2"/>
      <c r="AX43" s="2"/>
      <c r="AY43" s="2"/>
    </row>
    <row r="44" spans="3:51" s="94" customFormat="1">
      <c r="C44" s="2"/>
      <c r="D44" s="2"/>
      <c r="E44" s="2"/>
      <c r="G44" s="2"/>
      <c r="H44" s="2"/>
      <c r="I44" s="3"/>
      <c r="J44" s="2"/>
      <c r="K44" s="2"/>
      <c r="M44" s="2"/>
      <c r="N44" s="2"/>
      <c r="O44" s="2"/>
      <c r="P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3"/>
      <c r="AF44" s="2"/>
      <c r="AG44" s="2"/>
      <c r="AI44" s="2"/>
      <c r="AJ44" s="2"/>
      <c r="AK44" s="2"/>
      <c r="AL44" s="2"/>
      <c r="AM44" s="2"/>
      <c r="AO44" s="2"/>
      <c r="AP44" s="2"/>
      <c r="AQ44" s="4"/>
      <c r="AR44" s="4"/>
      <c r="AS44" s="4"/>
      <c r="AT44" s="4"/>
      <c r="AU44" s="4"/>
      <c r="AV44" s="2"/>
      <c r="AX44" s="2"/>
      <c r="AY44" s="2"/>
    </row>
    <row r="45" spans="3:51" s="94" customFormat="1">
      <c r="C45" s="2"/>
      <c r="D45" s="2"/>
      <c r="E45" s="2"/>
      <c r="G45" s="2"/>
      <c r="H45" s="2"/>
      <c r="I45" s="3"/>
      <c r="J45" s="2"/>
      <c r="K45" s="2"/>
      <c r="M45" s="2"/>
      <c r="N45" s="2"/>
      <c r="O45" s="2"/>
      <c r="P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3"/>
      <c r="AF45" s="2"/>
      <c r="AG45" s="2"/>
      <c r="AI45" s="2"/>
      <c r="AJ45" s="2"/>
      <c r="AK45" s="2"/>
      <c r="AL45" s="2"/>
      <c r="AM45" s="2"/>
      <c r="AO45" s="2"/>
      <c r="AP45" s="2"/>
      <c r="AQ45" s="4"/>
      <c r="AR45" s="4"/>
      <c r="AS45" s="4"/>
      <c r="AT45" s="4"/>
      <c r="AU45" s="4"/>
      <c r="AV45" s="2"/>
      <c r="AX45" s="2"/>
      <c r="AY45" s="2"/>
    </row>
    <row r="46" spans="3:51" s="94" customFormat="1">
      <c r="C46" s="2"/>
      <c r="D46" s="2"/>
      <c r="E46" s="2"/>
      <c r="G46" s="2"/>
      <c r="H46" s="2"/>
      <c r="I46" s="3"/>
      <c r="J46" s="2"/>
      <c r="K46" s="2"/>
      <c r="M46" s="2"/>
      <c r="N46" s="2"/>
      <c r="O46" s="2"/>
      <c r="P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3"/>
      <c r="AF46" s="2"/>
      <c r="AG46" s="2"/>
      <c r="AI46" s="2"/>
      <c r="AJ46" s="2"/>
      <c r="AK46" s="2"/>
      <c r="AL46" s="2"/>
      <c r="AM46" s="2"/>
      <c r="AO46" s="2"/>
      <c r="AP46" s="2"/>
      <c r="AQ46" s="4"/>
      <c r="AR46" s="4"/>
      <c r="AS46" s="4"/>
      <c r="AT46" s="4"/>
      <c r="AU46" s="4"/>
      <c r="AV46" s="2"/>
      <c r="AX46" s="2"/>
      <c r="AY46" s="2"/>
    </row>
    <row r="47" spans="3:51" s="94" customFormat="1">
      <c r="C47" s="2"/>
      <c r="D47" s="2"/>
      <c r="E47" s="2"/>
      <c r="G47" s="2"/>
      <c r="H47" s="2"/>
      <c r="I47" s="3"/>
      <c r="J47" s="2"/>
      <c r="K47" s="2"/>
      <c r="M47" s="2"/>
      <c r="N47" s="2"/>
      <c r="O47" s="2"/>
      <c r="P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3"/>
      <c r="AF47" s="2"/>
      <c r="AG47" s="2"/>
      <c r="AI47" s="2"/>
      <c r="AJ47" s="2"/>
      <c r="AK47" s="2"/>
      <c r="AL47" s="2"/>
      <c r="AM47" s="2"/>
      <c r="AO47" s="2"/>
      <c r="AP47" s="2"/>
      <c r="AQ47" s="4"/>
      <c r="AR47" s="4"/>
      <c r="AS47" s="4"/>
      <c r="AT47" s="4"/>
      <c r="AU47" s="4"/>
      <c r="AV47" s="2"/>
      <c r="AX47" s="2"/>
      <c r="AY47" s="2"/>
    </row>
    <row r="48" spans="3:51" s="94" customFormat="1">
      <c r="C48" s="2"/>
      <c r="D48" s="2"/>
      <c r="E48" s="2"/>
      <c r="G48" s="2"/>
      <c r="H48" s="2"/>
      <c r="I48" s="3"/>
      <c r="J48" s="2"/>
      <c r="K48" s="2"/>
      <c r="M48" s="2"/>
      <c r="N48" s="2"/>
      <c r="O48" s="2"/>
      <c r="P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3"/>
      <c r="AF48" s="2"/>
      <c r="AG48" s="2"/>
      <c r="AI48" s="2"/>
      <c r="AJ48" s="2"/>
      <c r="AK48" s="2"/>
      <c r="AL48" s="2"/>
      <c r="AM48" s="2"/>
      <c r="AO48" s="2"/>
      <c r="AP48" s="2"/>
      <c r="AQ48" s="4"/>
      <c r="AR48" s="4"/>
      <c r="AS48" s="4"/>
      <c r="AT48" s="4"/>
      <c r="AU48" s="4"/>
      <c r="AV48" s="2"/>
      <c r="AX48" s="2"/>
      <c r="AY48" s="2"/>
    </row>
    <row r="49" spans="47:47">
      <c r="AU49" s="4"/>
    </row>
    <row r="50" spans="47:47">
      <c r="AU50" s="4"/>
    </row>
    <row r="51" spans="47:47">
      <c r="AU51" s="4"/>
    </row>
  </sheetData>
  <pageMargins left="0" right="0" top="0.39409448818897641" bottom="0.39409448818897641" header="0" footer="0"/>
  <pageSetup orientation="portrait" horizontalDpi="4294967292" verticalDpi="4294967292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8282A-1E92-E14E-97C9-D2C42EDAABCE}">
  <dimension ref="A1:BA472"/>
  <sheetViews>
    <sheetView topLeftCell="U43" workbookViewId="0">
      <selection activeCell="AL69" sqref="AL69"/>
    </sheetView>
  </sheetViews>
  <sheetFormatPr baseColWidth="10" defaultRowHeight="16"/>
  <cols>
    <col min="1" max="1" width="24" bestFit="1" customWidth="1"/>
    <col min="6" max="6" width="10.83203125" style="108"/>
    <col min="8" max="8" width="10.83203125" style="108"/>
    <col min="12" max="12" width="10.83203125" style="108"/>
    <col min="17" max="17" width="10.83203125" style="108"/>
    <col min="30" max="30" width="10.83203125" style="108"/>
    <col min="31" max="31" width="11.5" bestFit="1" customWidth="1"/>
    <col min="34" max="34" width="10.83203125" style="108"/>
    <col min="36" max="36" width="12" bestFit="1" customWidth="1"/>
    <col min="39" max="39" width="12.33203125" customWidth="1"/>
    <col min="40" max="40" width="11.5" style="108" bestFit="1" customWidth="1"/>
    <col min="49" max="49" width="10.83203125" style="108"/>
    <col min="52" max="52" width="10.83203125" style="108"/>
  </cols>
  <sheetData>
    <row r="1" spans="1:53" s="1" customFormat="1" ht="90">
      <c r="A1" s="1" t="s">
        <v>331</v>
      </c>
      <c r="B1" s="2" t="s">
        <v>0</v>
      </c>
      <c r="C1" s="2" t="s">
        <v>332</v>
      </c>
      <c r="D1" s="2" t="s">
        <v>1</v>
      </c>
      <c r="E1" s="2" t="s">
        <v>2</v>
      </c>
      <c r="F1" s="2" t="s">
        <v>573</v>
      </c>
      <c r="G1" s="3" t="s">
        <v>14</v>
      </c>
      <c r="H1" s="2" t="s">
        <v>333</v>
      </c>
      <c r="I1" s="3" t="s">
        <v>3</v>
      </c>
      <c r="J1" s="2" t="s">
        <v>457</v>
      </c>
      <c r="K1" s="2" t="s">
        <v>4</v>
      </c>
      <c r="L1" s="2" t="s">
        <v>334</v>
      </c>
      <c r="M1" s="5" t="s">
        <v>15</v>
      </c>
      <c r="N1" s="2" t="s">
        <v>16</v>
      </c>
      <c r="O1" s="2" t="s">
        <v>574</v>
      </c>
      <c r="P1" s="2" t="s">
        <v>575</v>
      </c>
      <c r="Q1" s="2" t="s">
        <v>576</v>
      </c>
      <c r="R1" s="3" t="s">
        <v>335</v>
      </c>
      <c r="S1" s="8" t="s">
        <v>578</v>
      </c>
      <c r="T1" s="8" t="s">
        <v>577</v>
      </c>
      <c r="U1" s="8" t="s">
        <v>579</v>
      </c>
      <c r="V1" s="2" t="s">
        <v>5</v>
      </c>
      <c r="W1" s="8" t="s">
        <v>6</v>
      </c>
      <c r="X1" s="2" t="s">
        <v>459</v>
      </c>
      <c r="Y1" s="8" t="s">
        <v>336</v>
      </c>
      <c r="Z1" s="8" t="s">
        <v>580</v>
      </c>
      <c r="AA1" s="8" t="s">
        <v>581</v>
      </c>
      <c r="AB1" s="8" t="s">
        <v>582</v>
      </c>
      <c r="AC1" s="8" t="s">
        <v>583</v>
      </c>
      <c r="AD1" s="8" t="s">
        <v>584</v>
      </c>
      <c r="AE1" s="16" t="s">
        <v>7</v>
      </c>
      <c r="AF1" s="8" t="s">
        <v>8</v>
      </c>
      <c r="AG1" s="8" t="s">
        <v>9</v>
      </c>
      <c r="AH1" s="8" t="s">
        <v>10</v>
      </c>
      <c r="AI1" s="3" t="s">
        <v>337</v>
      </c>
      <c r="AJ1" s="8" t="s">
        <v>585</v>
      </c>
      <c r="AK1" s="8" t="s">
        <v>586</v>
      </c>
      <c r="AL1" s="2" t="s">
        <v>587</v>
      </c>
      <c r="AM1" s="8" t="s">
        <v>588</v>
      </c>
      <c r="AN1" s="8" t="s">
        <v>589</v>
      </c>
      <c r="AO1" s="9" t="s">
        <v>11</v>
      </c>
      <c r="AP1" s="10" t="s">
        <v>12</v>
      </c>
      <c r="AQ1" s="2" t="s">
        <v>329</v>
      </c>
      <c r="AR1" s="2" t="s">
        <v>330</v>
      </c>
      <c r="AS1" s="10" t="s">
        <v>13</v>
      </c>
      <c r="AT1" s="10" t="s">
        <v>590</v>
      </c>
      <c r="AU1" s="4" t="s">
        <v>591</v>
      </c>
      <c r="AV1" s="8" t="s">
        <v>592</v>
      </c>
      <c r="AW1" s="2" t="s">
        <v>383</v>
      </c>
      <c r="AX1" s="3" t="s">
        <v>594</v>
      </c>
      <c r="AY1" s="8" t="s">
        <v>593</v>
      </c>
      <c r="AZ1" s="8" t="s">
        <v>595</v>
      </c>
      <c r="BA1" s="5" t="s">
        <v>17</v>
      </c>
    </row>
    <row r="2" spans="1:53">
      <c r="A2" s="95" t="str">
        <f t="shared" ref="A2:A33" si="0">CONCATENATE("\cite{",B2,C2,"}")</f>
        <v>\cite{Ardente2008}</v>
      </c>
      <c r="B2" s="107" t="s">
        <v>400</v>
      </c>
      <c r="C2" s="107">
        <v>2008</v>
      </c>
      <c r="E2" s="11">
        <f t="shared" ref="E2" si="1">IF(D2&gt;0,D2,C2)</f>
        <v>2008</v>
      </c>
      <c r="F2" s="185">
        <f>LOOKUP(E2,Total_wind_installed_capacity!$A$3:$A$28,Total_wind_installed_capacity!$H$3:$H$28)</f>
        <v>116.9072445</v>
      </c>
      <c r="J2" s="170">
        <v>660</v>
      </c>
      <c r="K2">
        <v>1</v>
      </c>
      <c r="L2" s="188">
        <f>J2*K2</f>
        <v>660</v>
      </c>
      <c r="N2" t="s">
        <v>348</v>
      </c>
      <c r="AE2" s="170">
        <f>AX2*AM2/1000</f>
        <v>325157.18400000001</v>
      </c>
      <c r="AG2" s="168">
        <f>AE2/J2/1000</f>
        <v>0.4926624</v>
      </c>
      <c r="AI2" s="164">
        <v>0.19</v>
      </c>
      <c r="AJ2" s="171">
        <f>J2*8760*AI2</f>
        <v>1098504</v>
      </c>
      <c r="AL2">
        <v>20</v>
      </c>
      <c r="AM2" s="171">
        <f>AJ2*AL2</f>
        <v>21970080</v>
      </c>
      <c r="AN2" s="171">
        <f>AM2/L2*1000</f>
        <v>33288000</v>
      </c>
      <c r="AX2" s="168">
        <v>14.8</v>
      </c>
    </row>
    <row r="3" spans="1:53">
      <c r="A3" s="95" t="str">
        <f t="shared" si="0"/>
        <v>\cite{ACARP2001}</v>
      </c>
      <c r="B3" s="107" t="s">
        <v>446</v>
      </c>
      <c r="C3" s="107">
        <v>2001</v>
      </c>
      <c r="E3" s="11">
        <f t="shared" ref="E3:E66" si="2">IF(D3&gt;0,D3,C3)</f>
        <v>2001</v>
      </c>
      <c r="F3" s="185">
        <f>LOOKUP(E3,Total_wind_installed_capacity!$A$3:$A$28,Total_wind_installed_capacity!$H$3:$H$28)</f>
        <v>23.324154999999998</v>
      </c>
      <c r="J3" s="170">
        <v>600</v>
      </c>
      <c r="K3">
        <v>1</v>
      </c>
      <c r="L3" s="188">
        <f t="shared" ref="L3:L66" si="3">J3*K3</f>
        <v>600</v>
      </c>
      <c r="N3" t="s">
        <v>348</v>
      </c>
      <c r="AE3" s="170">
        <f t="shared" ref="AE3:AE66" si="4">AX3*AM3/1000</f>
        <v>202650.3359999838</v>
      </c>
      <c r="AG3" s="168">
        <f t="shared" ref="AG3:AG66" si="5">AE3/J3/1000</f>
        <v>0.337750559999973</v>
      </c>
      <c r="AI3" s="164">
        <v>0.21</v>
      </c>
      <c r="AJ3" s="171">
        <f t="shared" ref="AJ3:AJ66" si="6">J3*8760*AI3</f>
        <v>1103760</v>
      </c>
      <c r="AL3">
        <v>30</v>
      </c>
      <c r="AM3" s="171">
        <f t="shared" ref="AM3:AM66" si="7">AJ3*AL3</f>
        <v>33112800</v>
      </c>
      <c r="AN3" s="171">
        <f t="shared" ref="AN3:AN66" si="8">AM3/L3*1000</f>
        <v>55188000</v>
      </c>
      <c r="AX3" s="168">
        <v>6.1199999999995107</v>
      </c>
    </row>
    <row r="4" spans="1:53">
      <c r="A4" s="95" t="str">
        <f t="shared" si="0"/>
        <v>\cite{Berry1998}</v>
      </c>
      <c r="B4" s="107" t="s">
        <v>416</v>
      </c>
      <c r="C4" s="107">
        <v>1998</v>
      </c>
      <c r="E4" s="11">
        <f t="shared" si="2"/>
        <v>1998</v>
      </c>
      <c r="F4" s="185">
        <f>LOOKUP(E4,Total_wind_installed_capacity!$A$3:$A$28,Total_wind_installed_capacity!$H$3:$H$28)</f>
        <v>8.7342999999999993</v>
      </c>
      <c r="J4" s="170">
        <v>300</v>
      </c>
      <c r="K4">
        <v>1</v>
      </c>
      <c r="L4" s="188">
        <f t="shared" si="3"/>
        <v>300</v>
      </c>
      <c r="N4" t="s">
        <v>348</v>
      </c>
      <c r="AE4" s="170" t="e">
        <f t="shared" si="4"/>
        <v>#VALUE!</v>
      </c>
      <c r="AG4" s="168" t="e">
        <f t="shared" si="5"/>
        <v>#VALUE!</v>
      </c>
      <c r="AI4" s="164">
        <v>0.31</v>
      </c>
      <c r="AJ4" s="171">
        <f t="shared" si="6"/>
        <v>814680</v>
      </c>
      <c r="AL4" t="s">
        <v>455</v>
      </c>
      <c r="AM4" s="196" t="e">
        <f>AJ4*AL4</f>
        <v>#VALUE!</v>
      </c>
      <c r="AN4" s="171" t="e">
        <f t="shared" si="8"/>
        <v>#VALUE!</v>
      </c>
      <c r="AX4" s="168">
        <v>9.1</v>
      </c>
    </row>
    <row r="5" spans="1:53">
      <c r="A5" s="95" t="str">
        <f t="shared" si="0"/>
        <v>\cite{Chataignere2003}</v>
      </c>
      <c r="B5" s="107" t="s">
        <v>417</v>
      </c>
      <c r="C5" s="107">
        <v>2003</v>
      </c>
      <c r="E5" s="11">
        <f t="shared" si="2"/>
        <v>2003</v>
      </c>
      <c r="F5" s="185">
        <f>LOOKUP(E5,Total_wind_installed_capacity!$A$3:$A$28,Total_wind_installed_capacity!$H$3:$H$28)</f>
        <v>38.113542499999994</v>
      </c>
      <c r="J5" s="170">
        <v>600</v>
      </c>
      <c r="K5">
        <v>1</v>
      </c>
      <c r="L5" s="188">
        <f t="shared" si="3"/>
        <v>600</v>
      </c>
      <c r="N5" t="s">
        <v>348</v>
      </c>
      <c r="AE5" s="170">
        <f t="shared" si="4"/>
        <v>225892.36799999996</v>
      </c>
      <c r="AG5" s="168">
        <f t="shared" si="5"/>
        <v>0.37648727999999992</v>
      </c>
      <c r="AI5" s="164">
        <v>0.28499999999999998</v>
      </c>
      <c r="AJ5" s="171">
        <f t="shared" si="6"/>
        <v>1497959.9999999998</v>
      </c>
      <c r="AL5">
        <v>20</v>
      </c>
      <c r="AM5" s="171">
        <f t="shared" si="7"/>
        <v>29959199.999999996</v>
      </c>
      <c r="AN5" s="171">
        <f t="shared" si="8"/>
        <v>49931999.999999993</v>
      </c>
      <c r="AX5" s="168">
        <v>7.54</v>
      </c>
    </row>
    <row r="6" spans="1:53">
      <c r="A6" s="95" t="str">
        <f t="shared" si="0"/>
        <v>\cite{Chataignere2003}</v>
      </c>
      <c r="B6" s="107" t="s">
        <v>417</v>
      </c>
      <c r="C6" s="107">
        <v>2003</v>
      </c>
      <c r="E6" s="11">
        <f t="shared" si="2"/>
        <v>2003</v>
      </c>
      <c r="F6" s="185">
        <f>LOOKUP(E6,Total_wind_installed_capacity!$A$3:$A$28,Total_wind_installed_capacity!$H$3:$H$28)</f>
        <v>38.113542499999994</v>
      </c>
      <c r="J6" s="170">
        <v>2500</v>
      </c>
      <c r="K6">
        <v>1</v>
      </c>
      <c r="L6" s="188">
        <f t="shared" si="3"/>
        <v>2500</v>
      </c>
      <c r="N6" t="s">
        <v>348</v>
      </c>
      <c r="AE6" s="170">
        <f t="shared" si="4"/>
        <v>1183388.4000000001</v>
      </c>
      <c r="AG6" s="168">
        <f t="shared" si="5"/>
        <v>0.47335536000000006</v>
      </c>
      <c r="AI6" s="164">
        <v>0.34200000000000003</v>
      </c>
      <c r="AJ6" s="171">
        <f t="shared" si="6"/>
        <v>7489800.0000000009</v>
      </c>
      <c r="AL6">
        <v>20</v>
      </c>
      <c r="AM6" s="171">
        <f t="shared" si="7"/>
        <v>149796000.00000003</v>
      </c>
      <c r="AN6" s="171">
        <f t="shared" si="8"/>
        <v>59918400.000000007</v>
      </c>
      <c r="AX6" s="168">
        <v>7.9</v>
      </c>
    </row>
    <row r="7" spans="1:53">
      <c r="A7" s="95" t="str">
        <f t="shared" si="0"/>
        <v>\cite{Chataignere2003}</v>
      </c>
      <c r="B7" s="107" t="s">
        <v>417</v>
      </c>
      <c r="C7" s="107">
        <v>2003</v>
      </c>
      <c r="E7" s="11">
        <f t="shared" si="2"/>
        <v>2003</v>
      </c>
      <c r="F7" s="185">
        <f>LOOKUP(E7,Total_wind_installed_capacity!$A$3:$A$28,Total_wind_installed_capacity!$H$3:$H$28)</f>
        <v>38.113542499999994</v>
      </c>
      <c r="J7" s="170">
        <v>2500</v>
      </c>
      <c r="K7">
        <v>1</v>
      </c>
      <c r="L7" s="188">
        <f t="shared" si="3"/>
        <v>2500</v>
      </c>
      <c r="N7" t="s">
        <v>359</v>
      </c>
      <c r="AE7" s="170">
        <f t="shared" si="4"/>
        <v>1847532.18</v>
      </c>
      <c r="AG7" s="168">
        <f t="shared" si="5"/>
        <v>0.73901287199999999</v>
      </c>
      <c r="AI7" s="164">
        <v>0.45700000000000002</v>
      </c>
      <c r="AJ7" s="171">
        <f t="shared" si="6"/>
        <v>10008300</v>
      </c>
      <c r="AL7">
        <v>20</v>
      </c>
      <c r="AM7" s="171">
        <f t="shared" si="7"/>
        <v>200166000</v>
      </c>
      <c r="AN7" s="171">
        <f t="shared" si="8"/>
        <v>80066400</v>
      </c>
      <c r="AX7" s="168">
        <v>9.23</v>
      </c>
    </row>
    <row r="8" spans="1:53">
      <c r="A8" s="95" t="str">
        <f t="shared" si="0"/>
        <v>\cite{Chataignere2003}</v>
      </c>
      <c r="B8" s="107" t="s">
        <v>417</v>
      </c>
      <c r="C8" s="107">
        <v>2003</v>
      </c>
      <c r="E8" s="11">
        <f t="shared" si="2"/>
        <v>2003</v>
      </c>
      <c r="F8" s="185">
        <f>LOOKUP(E8,Total_wind_installed_capacity!$A$3:$A$28,Total_wind_installed_capacity!$H$3:$H$28)</f>
        <v>38.113542499999994</v>
      </c>
      <c r="J8" s="170">
        <v>2500</v>
      </c>
      <c r="K8">
        <v>1</v>
      </c>
      <c r="L8" s="188">
        <f t="shared" si="3"/>
        <v>2500</v>
      </c>
      <c r="N8" t="s">
        <v>359</v>
      </c>
      <c r="AE8" s="170">
        <f t="shared" si="4"/>
        <v>1897573.68</v>
      </c>
      <c r="AG8" s="168">
        <f t="shared" si="5"/>
        <v>0.75902947199999993</v>
      </c>
      <c r="AI8" s="164">
        <v>0.45700000000000002</v>
      </c>
      <c r="AJ8" s="171">
        <f t="shared" si="6"/>
        <v>10008300</v>
      </c>
      <c r="AL8">
        <v>20</v>
      </c>
      <c r="AM8" s="171">
        <f t="shared" si="7"/>
        <v>200166000</v>
      </c>
      <c r="AN8" s="171">
        <f t="shared" si="8"/>
        <v>80066400</v>
      </c>
      <c r="AX8" s="168">
        <v>9.48</v>
      </c>
    </row>
    <row r="9" spans="1:53">
      <c r="A9" s="95" t="str">
        <f t="shared" si="0"/>
        <v>\cite{Chataignere2003}</v>
      </c>
      <c r="B9" s="107" t="s">
        <v>417</v>
      </c>
      <c r="C9" s="107">
        <v>2003</v>
      </c>
      <c r="E9" s="11">
        <f t="shared" si="2"/>
        <v>2003</v>
      </c>
      <c r="F9" s="185">
        <f>LOOKUP(E9,Total_wind_installed_capacity!$A$3:$A$28,Total_wind_installed_capacity!$H$3:$H$28)</f>
        <v>38.113542499999994</v>
      </c>
      <c r="J9" s="170">
        <v>2500</v>
      </c>
      <c r="K9">
        <v>1</v>
      </c>
      <c r="L9" s="188">
        <f t="shared" si="3"/>
        <v>2500</v>
      </c>
      <c r="N9" t="s">
        <v>359</v>
      </c>
      <c r="AE9" s="170">
        <f t="shared" si="4"/>
        <v>1965630.12</v>
      </c>
      <c r="AG9" s="168">
        <f t="shared" si="5"/>
        <v>0.78625204800000004</v>
      </c>
      <c r="AI9" s="164">
        <v>0.45700000000000002</v>
      </c>
      <c r="AJ9" s="171">
        <f t="shared" si="6"/>
        <v>10008300</v>
      </c>
      <c r="AL9">
        <v>20</v>
      </c>
      <c r="AM9" s="171">
        <f t="shared" si="7"/>
        <v>200166000</v>
      </c>
      <c r="AN9" s="171">
        <f t="shared" si="8"/>
        <v>80066400</v>
      </c>
      <c r="AX9" s="168">
        <v>9.82</v>
      </c>
    </row>
    <row r="10" spans="1:53">
      <c r="A10" s="95" t="str">
        <f t="shared" si="0"/>
        <v>\cite{Chataignere2003}</v>
      </c>
      <c r="B10" s="107" t="s">
        <v>417</v>
      </c>
      <c r="C10" s="107">
        <v>2003</v>
      </c>
      <c r="E10" s="11">
        <f t="shared" si="2"/>
        <v>2003</v>
      </c>
      <c r="F10" s="185">
        <f>LOOKUP(E10,Total_wind_installed_capacity!$A$3:$A$28,Total_wind_installed_capacity!$H$3:$H$28)</f>
        <v>38.113542499999994</v>
      </c>
      <c r="J10" s="170">
        <v>1500</v>
      </c>
      <c r="K10">
        <v>1</v>
      </c>
      <c r="L10" s="188">
        <f t="shared" si="3"/>
        <v>1500</v>
      </c>
      <c r="N10" t="s">
        <v>348</v>
      </c>
      <c r="AE10" s="170">
        <f t="shared" si="4"/>
        <v>916002.53999999992</v>
      </c>
      <c r="AG10" s="168">
        <f t="shared" si="5"/>
        <v>0.61066835999999991</v>
      </c>
      <c r="AI10" s="164">
        <v>0.28499999999999998</v>
      </c>
      <c r="AJ10" s="171">
        <f t="shared" si="6"/>
        <v>3744899.9999999995</v>
      </c>
      <c r="AL10">
        <v>20</v>
      </c>
      <c r="AM10" s="171">
        <f t="shared" si="7"/>
        <v>74897999.999999985</v>
      </c>
      <c r="AN10" s="171">
        <f t="shared" si="8"/>
        <v>49931999.999999993</v>
      </c>
      <c r="AX10" s="168">
        <v>12.23</v>
      </c>
    </row>
    <row r="11" spans="1:53">
      <c r="A11" s="95" t="str">
        <f t="shared" si="0"/>
        <v>\cite{Crawford2009}</v>
      </c>
      <c r="B11" s="107" t="s">
        <v>412</v>
      </c>
      <c r="C11" s="107">
        <v>2009</v>
      </c>
      <c r="E11" s="11">
        <f t="shared" si="2"/>
        <v>2009</v>
      </c>
      <c r="F11" s="185">
        <f>LOOKUP(E11,Total_wind_installed_capacity!$A$3:$A$28,Total_wind_installed_capacity!$H$3:$H$28)</f>
        <v>151.3704745</v>
      </c>
      <c r="J11" s="170">
        <v>3000</v>
      </c>
      <c r="K11">
        <v>1</v>
      </c>
      <c r="L11" s="188">
        <f t="shared" si="3"/>
        <v>3000</v>
      </c>
      <c r="N11" t="s">
        <v>348</v>
      </c>
      <c r="AE11" s="170">
        <f t="shared" si="4"/>
        <v>5532000</v>
      </c>
      <c r="AG11" s="168">
        <f t="shared" si="5"/>
        <v>1.8440000000000001</v>
      </c>
      <c r="AI11" s="164">
        <v>0.33</v>
      </c>
      <c r="AJ11" s="171">
        <f t="shared" si="6"/>
        <v>8672400</v>
      </c>
      <c r="AL11">
        <v>20</v>
      </c>
      <c r="AM11" s="171">
        <f t="shared" si="7"/>
        <v>173448000</v>
      </c>
      <c r="AN11" s="171">
        <f t="shared" si="8"/>
        <v>57816000</v>
      </c>
      <c r="AX11" s="168">
        <v>31.894285318942853</v>
      </c>
    </row>
    <row r="12" spans="1:53">
      <c r="A12" s="95" t="str">
        <f t="shared" si="0"/>
        <v>\cite{Crawford2009}</v>
      </c>
      <c r="B12" s="107" t="s">
        <v>412</v>
      </c>
      <c r="C12" s="107">
        <v>2009</v>
      </c>
      <c r="E12" s="11">
        <f t="shared" si="2"/>
        <v>2009</v>
      </c>
      <c r="F12" s="185">
        <f>LOOKUP(E12,Total_wind_installed_capacity!$A$3:$A$28,Total_wind_installed_capacity!$H$3:$H$28)</f>
        <v>151.3704745</v>
      </c>
      <c r="J12" s="170">
        <v>850</v>
      </c>
      <c r="K12">
        <v>1</v>
      </c>
      <c r="L12" s="188">
        <f t="shared" si="3"/>
        <v>850</v>
      </c>
      <c r="N12" t="s">
        <v>348</v>
      </c>
      <c r="AE12" s="170">
        <f t="shared" si="4"/>
        <v>1762899.9999999998</v>
      </c>
      <c r="AG12" s="168">
        <f t="shared" si="5"/>
        <v>2.0739999999999994</v>
      </c>
      <c r="AI12" s="164">
        <v>0.34</v>
      </c>
      <c r="AJ12" s="171">
        <f t="shared" si="6"/>
        <v>2531640</v>
      </c>
      <c r="AL12">
        <v>20</v>
      </c>
      <c r="AM12" s="171">
        <f t="shared" si="7"/>
        <v>50632800</v>
      </c>
      <c r="AN12" s="171">
        <f t="shared" si="8"/>
        <v>59568000</v>
      </c>
      <c r="AX12" s="168">
        <v>34.817351598173509</v>
      </c>
    </row>
    <row r="13" spans="1:53">
      <c r="A13" s="95" t="str">
        <f t="shared" si="0"/>
        <v>\cite{Dolan2007}</v>
      </c>
      <c r="B13" s="107" t="s">
        <v>418</v>
      </c>
      <c r="C13" s="107">
        <v>2007</v>
      </c>
      <c r="E13" s="11">
        <f t="shared" si="2"/>
        <v>2007</v>
      </c>
      <c r="F13" s="185">
        <f>LOOKUP(E13,Total_wind_installed_capacity!$A$3:$A$28,Total_wind_installed_capacity!$H$3:$H$28)</f>
        <v>91.070114500000003</v>
      </c>
      <c r="J13" s="170">
        <v>1800</v>
      </c>
      <c r="K13">
        <v>1</v>
      </c>
      <c r="L13" s="188">
        <f t="shared" si="3"/>
        <v>1800</v>
      </c>
      <c r="N13" t="s">
        <v>359</v>
      </c>
      <c r="AE13" s="170">
        <f t="shared" si="4"/>
        <v>2270592</v>
      </c>
      <c r="AG13" s="168">
        <f t="shared" si="5"/>
        <v>1.2614400000000001</v>
      </c>
      <c r="AI13" s="164">
        <v>0.3</v>
      </c>
      <c r="AJ13" s="171">
        <f t="shared" si="6"/>
        <v>4730400</v>
      </c>
      <c r="AL13">
        <v>20</v>
      </c>
      <c r="AM13" s="171">
        <f t="shared" si="7"/>
        <v>94608000</v>
      </c>
      <c r="AN13" s="171">
        <f t="shared" si="8"/>
        <v>52560000</v>
      </c>
      <c r="AX13" s="168">
        <v>24</v>
      </c>
    </row>
    <row r="14" spans="1:53">
      <c r="A14" s="95" t="str">
        <f t="shared" si="0"/>
        <v>\cite{Dones2005}</v>
      </c>
      <c r="B14" s="107" t="s">
        <v>419</v>
      </c>
      <c r="C14" s="107">
        <v>2005</v>
      </c>
      <c r="E14" s="11">
        <f t="shared" si="2"/>
        <v>2005</v>
      </c>
      <c r="F14" s="185">
        <f>LOOKUP(E14,Total_wind_installed_capacity!$A$3:$A$28,Total_wind_installed_capacity!$H$3:$H$28)</f>
        <v>57.6165175</v>
      </c>
      <c r="J14" s="170">
        <v>800</v>
      </c>
      <c r="K14">
        <v>1</v>
      </c>
      <c r="L14" s="188">
        <f t="shared" si="3"/>
        <v>800</v>
      </c>
      <c r="N14" t="s">
        <v>348</v>
      </c>
      <c r="AE14" s="229">
        <f>AX14*AM14/1000</f>
        <v>441504</v>
      </c>
      <c r="AG14" s="168">
        <f>AE14/J14/1000</f>
        <v>0.55188000000000004</v>
      </c>
      <c r="AI14" s="164">
        <v>0.2</v>
      </c>
      <c r="AJ14" s="171">
        <f t="shared" si="6"/>
        <v>1401600</v>
      </c>
      <c r="AL14">
        <v>30</v>
      </c>
      <c r="AM14" s="196">
        <f>AJ14*AL14</f>
        <v>42048000</v>
      </c>
      <c r="AN14" s="171">
        <f t="shared" si="8"/>
        <v>52560000</v>
      </c>
      <c r="AX14" s="168">
        <v>10.5</v>
      </c>
    </row>
    <row r="15" spans="1:53">
      <c r="A15" s="95" t="str">
        <f t="shared" si="0"/>
        <v>\cite{Dones2005}</v>
      </c>
      <c r="B15" s="107" t="s">
        <v>419</v>
      </c>
      <c r="C15" s="107">
        <v>2005</v>
      </c>
      <c r="E15" s="11">
        <f t="shared" si="2"/>
        <v>2005</v>
      </c>
      <c r="F15" s="185">
        <f>LOOKUP(E15,Total_wind_installed_capacity!$A$3:$A$28,Total_wind_installed_capacity!$H$3:$H$28)</f>
        <v>57.6165175</v>
      </c>
      <c r="J15" s="170">
        <v>2000</v>
      </c>
      <c r="K15">
        <v>1</v>
      </c>
      <c r="L15" s="188">
        <f t="shared" si="3"/>
        <v>2000</v>
      </c>
      <c r="N15" t="s">
        <v>359</v>
      </c>
      <c r="AE15" s="170">
        <f t="shared" si="4"/>
        <v>1408608</v>
      </c>
      <c r="AG15" s="168">
        <f t="shared" si="5"/>
        <v>0.70430399999999993</v>
      </c>
      <c r="AI15" s="164">
        <v>0.3</v>
      </c>
      <c r="AJ15" s="171">
        <f t="shared" si="6"/>
        <v>5256000</v>
      </c>
      <c r="AL15">
        <v>20</v>
      </c>
      <c r="AM15" s="171">
        <f t="shared" si="7"/>
        <v>105120000</v>
      </c>
      <c r="AN15" s="171">
        <f t="shared" si="8"/>
        <v>52560000</v>
      </c>
      <c r="AX15" s="168">
        <v>13.4</v>
      </c>
    </row>
    <row r="16" spans="1:53">
      <c r="A16" s="95" t="str">
        <f t="shared" si="0"/>
        <v>\cite{Dones2007}</v>
      </c>
      <c r="B16" s="107" t="s">
        <v>419</v>
      </c>
      <c r="C16" s="107">
        <v>2007</v>
      </c>
      <c r="E16" s="11">
        <f t="shared" si="2"/>
        <v>2007</v>
      </c>
      <c r="F16" s="185">
        <f>LOOKUP(E16,Total_wind_installed_capacity!$A$3:$A$28,Total_wind_installed_capacity!$H$3:$H$28)</f>
        <v>91.070114500000003</v>
      </c>
      <c r="J16" s="170">
        <v>800</v>
      </c>
      <c r="K16">
        <v>1</v>
      </c>
      <c r="L16" s="188">
        <f t="shared" si="3"/>
        <v>800</v>
      </c>
      <c r="N16" t="s">
        <v>348</v>
      </c>
      <c r="AE16" s="170">
        <f t="shared" si="4"/>
        <v>401978.88</v>
      </c>
      <c r="AG16" s="168">
        <f t="shared" si="5"/>
        <v>0.50247360000000008</v>
      </c>
      <c r="AI16" s="164">
        <v>0.2</v>
      </c>
      <c r="AJ16" s="171">
        <f t="shared" si="6"/>
        <v>1401600</v>
      </c>
      <c r="AL16">
        <v>30</v>
      </c>
      <c r="AM16" s="171">
        <f t="shared" si="7"/>
        <v>42048000</v>
      </c>
      <c r="AN16" s="171">
        <f t="shared" si="8"/>
        <v>52560000</v>
      </c>
      <c r="AX16" s="168">
        <v>9.56</v>
      </c>
    </row>
    <row r="17" spans="1:50">
      <c r="A17" s="95" t="str">
        <f t="shared" si="0"/>
        <v>\cite{Dones2007}</v>
      </c>
      <c r="B17" s="107" t="s">
        <v>419</v>
      </c>
      <c r="C17" s="107">
        <v>2007</v>
      </c>
      <c r="E17" s="11">
        <f t="shared" si="2"/>
        <v>2007</v>
      </c>
      <c r="F17" s="185">
        <f>LOOKUP(E17,Total_wind_installed_capacity!$A$3:$A$28,Total_wind_installed_capacity!$H$3:$H$28)</f>
        <v>91.070114500000003</v>
      </c>
      <c r="J17" s="170">
        <v>2000</v>
      </c>
      <c r="K17">
        <v>1</v>
      </c>
      <c r="L17" s="188">
        <f t="shared" si="3"/>
        <v>2000</v>
      </c>
      <c r="N17" t="s">
        <v>359</v>
      </c>
      <c r="AE17" s="170">
        <f t="shared" si="4"/>
        <v>1292976</v>
      </c>
      <c r="AG17" s="168">
        <f t="shared" si="5"/>
        <v>0.64648800000000006</v>
      </c>
      <c r="AI17" s="164">
        <v>0.3</v>
      </c>
      <c r="AJ17" s="171">
        <f t="shared" si="6"/>
        <v>5256000</v>
      </c>
      <c r="AL17">
        <v>20</v>
      </c>
      <c r="AM17" s="171">
        <f t="shared" si="7"/>
        <v>105120000</v>
      </c>
      <c r="AN17" s="171">
        <f t="shared" si="8"/>
        <v>52560000</v>
      </c>
      <c r="AX17" s="168">
        <v>12.3</v>
      </c>
    </row>
    <row r="18" spans="1:50">
      <c r="A18" s="95" t="str">
        <f t="shared" si="0"/>
        <v>\cite{Dones2007}</v>
      </c>
      <c r="B18" s="107" t="s">
        <v>419</v>
      </c>
      <c r="C18" s="107">
        <v>2007</v>
      </c>
      <c r="E18" s="11">
        <f t="shared" si="2"/>
        <v>2007</v>
      </c>
      <c r="F18" s="185">
        <f>LOOKUP(E18,Total_wind_installed_capacity!$A$3:$A$28,Total_wind_installed_capacity!$H$3:$H$28)</f>
        <v>91.070114500000003</v>
      </c>
      <c r="J18" s="170">
        <v>800</v>
      </c>
      <c r="K18">
        <v>1</v>
      </c>
      <c r="L18" s="188">
        <f t="shared" si="3"/>
        <v>800</v>
      </c>
      <c r="N18" t="s">
        <v>348</v>
      </c>
      <c r="AE18" s="170">
        <f t="shared" si="4"/>
        <v>400296.96000000008</v>
      </c>
      <c r="AG18" s="168">
        <f t="shared" si="5"/>
        <v>0.50037120000000013</v>
      </c>
      <c r="AI18" s="164">
        <v>0.14000000000000001</v>
      </c>
      <c r="AJ18" s="171">
        <f t="shared" si="6"/>
        <v>981120.00000000012</v>
      </c>
      <c r="AL18">
        <v>30</v>
      </c>
      <c r="AM18" s="171">
        <f t="shared" si="7"/>
        <v>29433600.000000004</v>
      </c>
      <c r="AN18" s="171">
        <f t="shared" si="8"/>
        <v>36792000.000000007</v>
      </c>
      <c r="AX18" s="168">
        <v>13.6</v>
      </c>
    </row>
    <row r="19" spans="1:50">
      <c r="A19" s="95" t="str">
        <f t="shared" si="0"/>
        <v>\cite{DONG Energy2008}</v>
      </c>
      <c r="B19" s="107" t="s">
        <v>420</v>
      </c>
      <c r="C19" s="107">
        <v>2008</v>
      </c>
      <c r="E19" s="11">
        <f t="shared" si="2"/>
        <v>2008</v>
      </c>
      <c r="F19" s="185">
        <f>LOOKUP(E19,Total_wind_installed_capacity!$A$3:$A$28,Total_wind_installed_capacity!$H$3:$H$28)</f>
        <v>116.9072445</v>
      </c>
      <c r="J19" s="170">
        <v>2000</v>
      </c>
      <c r="K19">
        <v>1</v>
      </c>
      <c r="L19" s="188">
        <f t="shared" si="3"/>
        <v>2000</v>
      </c>
      <c r="N19" t="s">
        <v>359</v>
      </c>
      <c r="AE19" s="170">
        <f t="shared" si="4"/>
        <v>1299546</v>
      </c>
      <c r="AG19" s="168">
        <f t="shared" si="5"/>
        <v>0.64977300000000004</v>
      </c>
      <c r="AI19" s="164">
        <v>0.46</v>
      </c>
      <c r="AJ19" s="171">
        <f t="shared" si="6"/>
        <v>8059200</v>
      </c>
      <c r="AL19">
        <v>20</v>
      </c>
      <c r="AM19" s="171">
        <f t="shared" si="7"/>
        <v>161184000</v>
      </c>
      <c r="AN19" s="171">
        <f t="shared" si="8"/>
        <v>80592000</v>
      </c>
      <c r="AX19" s="168">
        <v>8.0625</v>
      </c>
    </row>
    <row r="20" spans="1:50">
      <c r="A20" s="95" t="str">
        <f t="shared" si="0"/>
        <v>\cite{ENEL SpA2004}</v>
      </c>
      <c r="B20" s="107" t="s">
        <v>421</v>
      </c>
      <c r="C20" s="107">
        <v>2004</v>
      </c>
      <c r="E20" s="11">
        <f t="shared" si="2"/>
        <v>2004</v>
      </c>
      <c r="F20" s="185">
        <f>LOOKUP(E20,Total_wind_installed_capacity!$A$3:$A$28,Total_wind_installed_capacity!$H$3:$H$28)</f>
        <v>46.3964675</v>
      </c>
      <c r="J20" s="170">
        <v>660</v>
      </c>
      <c r="K20">
        <v>1</v>
      </c>
      <c r="L20" s="188">
        <f t="shared" si="3"/>
        <v>660</v>
      </c>
      <c r="N20" t="s">
        <v>348</v>
      </c>
      <c r="AE20" s="170">
        <f t="shared" si="4"/>
        <v>349798.36319999996</v>
      </c>
      <c r="AG20" s="168">
        <f t="shared" si="5"/>
        <v>0.52999751999999989</v>
      </c>
      <c r="AI20" s="164">
        <v>0.17899999999999999</v>
      </c>
      <c r="AJ20" s="171">
        <f t="shared" si="6"/>
        <v>1034906.3999999999</v>
      </c>
      <c r="AL20">
        <v>20</v>
      </c>
      <c r="AM20" s="171">
        <f t="shared" si="7"/>
        <v>20698128</v>
      </c>
      <c r="AN20" s="171">
        <f t="shared" si="8"/>
        <v>31360800</v>
      </c>
      <c r="AX20" s="168">
        <v>16.899999999999999</v>
      </c>
    </row>
    <row r="21" spans="1:50">
      <c r="A21" s="95" t="str">
        <f t="shared" si="0"/>
        <v>\cite{Eur. Commission1995}</v>
      </c>
      <c r="B21" s="107" t="s">
        <v>447</v>
      </c>
      <c r="C21" s="107">
        <v>1995</v>
      </c>
      <c r="E21" s="11">
        <f t="shared" si="2"/>
        <v>1995</v>
      </c>
      <c r="F21" s="185">
        <f>LOOKUP(E21,Total_wind_installed_capacity!$A$3:$A$28,Total_wind_installed_capacity!$H$3:$H$28)</f>
        <v>4.2103549999999998</v>
      </c>
      <c r="J21" s="170">
        <v>400</v>
      </c>
      <c r="K21">
        <v>1</v>
      </c>
      <c r="L21" s="188">
        <f t="shared" si="3"/>
        <v>400</v>
      </c>
      <c r="N21" t="s">
        <v>348</v>
      </c>
      <c r="AE21" s="170">
        <f t="shared" si="4"/>
        <v>191318.39999999999</v>
      </c>
      <c r="AG21" s="168">
        <f t="shared" si="5"/>
        <v>0.478296</v>
      </c>
      <c r="AI21" s="164">
        <v>0.3</v>
      </c>
      <c r="AJ21" s="171">
        <f t="shared" si="6"/>
        <v>1051200</v>
      </c>
      <c r="AL21">
        <v>20</v>
      </c>
      <c r="AM21" s="171">
        <f t="shared" si="7"/>
        <v>21024000</v>
      </c>
      <c r="AN21" s="171">
        <f t="shared" si="8"/>
        <v>52560000</v>
      </c>
      <c r="AX21" s="168">
        <v>9.1</v>
      </c>
    </row>
    <row r="22" spans="1:50">
      <c r="A22" s="95" t="str">
        <f t="shared" si="0"/>
        <v>\cite{Hartmann1997}</v>
      </c>
      <c r="B22" s="107" t="s">
        <v>422</v>
      </c>
      <c r="C22" s="107">
        <v>1997</v>
      </c>
      <c r="E22" s="11">
        <f t="shared" si="2"/>
        <v>1997</v>
      </c>
      <c r="F22" s="185">
        <f>LOOKUP(E22,Total_wind_installed_capacity!$A$3:$A$28,Total_wind_installed_capacity!$H$3:$H$28)</f>
        <v>6.7156999999999991</v>
      </c>
      <c r="J22" s="170">
        <v>1000</v>
      </c>
      <c r="K22">
        <v>1</v>
      </c>
      <c r="L22" s="188">
        <f t="shared" si="3"/>
        <v>1000</v>
      </c>
      <c r="N22" t="s">
        <v>348</v>
      </c>
      <c r="AE22" s="170">
        <f t="shared" si="4"/>
        <v>462760.64457599999</v>
      </c>
      <c r="AG22" s="168">
        <f t="shared" si="5"/>
        <v>0.46276064457600002</v>
      </c>
      <c r="AI22" s="164">
        <v>0.185</v>
      </c>
      <c r="AJ22" s="171">
        <f t="shared" si="6"/>
        <v>1620600</v>
      </c>
      <c r="AL22">
        <v>20</v>
      </c>
      <c r="AM22" s="171">
        <f t="shared" si="7"/>
        <v>32412000</v>
      </c>
      <c r="AN22" s="171">
        <f t="shared" si="8"/>
        <v>32412000</v>
      </c>
      <c r="AX22" s="168">
        <v>14.277448</v>
      </c>
    </row>
    <row r="23" spans="1:50">
      <c r="A23" s="95" t="str">
        <f t="shared" si="0"/>
        <v>\cite{Hartmann1997}</v>
      </c>
      <c r="B23" s="107" t="s">
        <v>422</v>
      </c>
      <c r="C23" s="107">
        <v>1997</v>
      </c>
      <c r="E23" s="11">
        <f t="shared" si="2"/>
        <v>1997</v>
      </c>
      <c r="F23" s="185">
        <f>LOOKUP(E23,Total_wind_installed_capacity!$A$3:$A$28,Total_wind_installed_capacity!$H$3:$H$28)</f>
        <v>6.7156999999999991</v>
      </c>
      <c r="J23" s="170">
        <v>1000</v>
      </c>
      <c r="K23">
        <v>1</v>
      </c>
      <c r="L23" s="188">
        <f t="shared" si="3"/>
        <v>1000</v>
      </c>
      <c r="N23" t="s">
        <v>348</v>
      </c>
      <c r="AE23" s="170">
        <f t="shared" si="4"/>
        <v>714803.6168640001</v>
      </c>
      <c r="AG23" s="168">
        <f t="shared" si="5"/>
        <v>0.71480361686400007</v>
      </c>
      <c r="AI23" s="164">
        <v>0.185</v>
      </c>
      <c r="AJ23" s="171">
        <f t="shared" si="6"/>
        <v>1620600</v>
      </c>
      <c r="AL23">
        <v>20</v>
      </c>
      <c r="AM23" s="171">
        <f t="shared" si="7"/>
        <v>32412000</v>
      </c>
      <c r="AN23" s="171">
        <f t="shared" si="8"/>
        <v>32412000</v>
      </c>
      <c r="AX23" s="168">
        <v>22.053672000000002</v>
      </c>
    </row>
    <row r="24" spans="1:50">
      <c r="A24" s="95" t="str">
        <f t="shared" si="0"/>
        <v>\cite{Hondo2005}</v>
      </c>
      <c r="B24" s="107" t="s">
        <v>423</v>
      </c>
      <c r="C24" s="107">
        <v>2005</v>
      </c>
      <c r="E24" s="11">
        <f t="shared" si="2"/>
        <v>2005</v>
      </c>
      <c r="F24" s="185">
        <f>LOOKUP(E24,Total_wind_installed_capacity!$A$3:$A$28,Total_wind_installed_capacity!$H$3:$H$28)</f>
        <v>57.6165175</v>
      </c>
      <c r="J24" s="170">
        <v>400</v>
      </c>
      <c r="K24">
        <v>1</v>
      </c>
      <c r="L24" s="188">
        <f t="shared" si="3"/>
        <v>400</v>
      </c>
      <c r="N24" t="s">
        <v>348</v>
      </c>
      <c r="AE24" s="170">
        <f t="shared" si="4"/>
        <v>525600</v>
      </c>
      <c r="AG24" s="168">
        <f t="shared" si="5"/>
        <v>1.3140000000000001</v>
      </c>
      <c r="AI24" s="164">
        <v>0.2</v>
      </c>
      <c r="AJ24" s="171">
        <f t="shared" si="6"/>
        <v>700800</v>
      </c>
      <c r="AL24">
        <v>50</v>
      </c>
      <c r="AM24" s="171">
        <f t="shared" si="7"/>
        <v>35040000</v>
      </c>
      <c r="AN24" s="171">
        <f t="shared" si="8"/>
        <v>87600000</v>
      </c>
      <c r="AX24" s="168">
        <v>15</v>
      </c>
    </row>
    <row r="25" spans="1:50">
      <c r="A25" s="95" t="str">
        <f t="shared" si="0"/>
        <v>\cite{Hondo2005}</v>
      </c>
      <c r="B25" s="107" t="s">
        <v>423</v>
      </c>
      <c r="C25" s="107">
        <v>2005</v>
      </c>
      <c r="E25" s="11">
        <f t="shared" si="2"/>
        <v>2005</v>
      </c>
      <c r="F25" s="185">
        <f>LOOKUP(E25,Total_wind_installed_capacity!$A$3:$A$28,Total_wind_installed_capacity!$H$3:$H$28)</f>
        <v>57.6165175</v>
      </c>
      <c r="J25" s="170">
        <v>400</v>
      </c>
      <c r="K25">
        <v>1</v>
      </c>
      <c r="L25" s="188">
        <f t="shared" si="3"/>
        <v>400</v>
      </c>
      <c r="N25" t="s">
        <v>348</v>
      </c>
      <c r="AE25" s="170">
        <f t="shared" si="4"/>
        <v>426787.2</v>
      </c>
      <c r="AG25" s="168">
        <f t="shared" si="5"/>
        <v>1.0669680000000001</v>
      </c>
      <c r="AI25" s="164">
        <v>0.2</v>
      </c>
      <c r="AJ25" s="171">
        <f t="shared" si="6"/>
        <v>700800</v>
      </c>
      <c r="AL25">
        <v>30</v>
      </c>
      <c r="AM25" s="171">
        <f t="shared" si="7"/>
        <v>21024000</v>
      </c>
      <c r="AN25" s="171">
        <f t="shared" si="8"/>
        <v>52560000</v>
      </c>
      <c r="AX25" s="168">
        <v>20.3</v>
      </c>
    </row>
    <row r="26" spans="1:50">
      <c r="A26" s="95" t="str">
        <f t="shared" si="0"/>
        <v>\cite{Hondo2005}</v>
      </c>
      <c r="B26" s="107" t="s">
        <v>423</v>
      </c>
      <c r="C26" s="107">
        <v>2005</v>
      </c>
      <c r="E26" s="11">
        <f t="shared" si="2"/>
        <v>2005</v>
      </c>
      <c r="F26" s="185">
        <f>LOOKUP(E26,Total_wind_installed_capacity!$A$3:$A$28,Total_wind_installed_capacity!$H$3:$H$28)</f>
        <v>57.6165175</v>
      </c>
      <c r="J26" s="170">
        <v>300</v>
      </c>
      <c r="K26">
        <v>1</v>
      </c>
      <c r="L26" s="188">
        <f t="shared" si="3"/>
        <v>300</v>
      </c>
      <c r="N26" t="s">
        <v>348</v>
      </c>
      <c r="AE26" s="170">
        <f t="shared" si="4"/>
        <v>551880</v>
      </c>
      <c r="AG26" s="168">
        <f t="shared" si="5"/>
        <v>1.8395999999999999</v>
      </c>
      <c r="AI26" s="164">
        <v>0.2</v>
      </c>
      <c r="AJ26" s="171">
        <f t="shared" si="6"/>
        <v>525600</v>
      </c>
      <c r="AL26">
        <v>50</v>
      </c>
      <c r="AM26" s="171">
        <f t="shared" si="7"/>
        <v>26280000</v>
      </c>
      <c r="AN26" s="171">
        <f t="shared" si="8"/>
        <v>87600000</v>
      </c>
      <c r="AX26" s="168">
        <v>21</v>
      </c>
    </row>
    <row r="27" spans="1:50">
      <c r="A27" s="95" t="str">
        <f t="shared" si="0"/>
        <v>\cite{Hondo2005}</v>
      </c>
      <c r="B27" s="107" t="s">
        <v>423</v>
      </c>
      <c r="C27" s="107">
        <v>2005</v>
      </c>
      <c r="E27" s="11">
        <f t="shared" si="2"/>
        <v>2005</v>
      </c>
      <c r="F27" s="185">
        <f>LOOKUP(E27,Total_wind_installed_capacity!$A$3:$A$28,Total_wind_installed_capacity!$H$3:$H$28)</f>
        <v>57.6165175</v>
      </c>
      <c r="J27" s="170">
        <v>400</v>
      </c>
      <c r="K27">
        <v>1</v>
      </c>
      <c r="L27" s="188">
        <f t="shared" si="3"/>
        <v>400</v>
      </c>
      <c r="N27" t="s">
        <v>348</v>
      </c>
      <c r="AE27" s="170">
        <f t="shared" si="4"/>
        <v>378432</v>
      </c>
      <c r="AG27" s="168">
        <f t="shared" si="5"/>
        <v>0.94608000000000003</v>
      </c>
      <c r="AI27" s="164">
        <v>0.2</v>
      </c>
      <c r="AJ27" s="171">
        <f t="shared" si="6"/>
        <v>700800</v>
      </c>
      <c r="AL27">
        <v>20</v>
      </c>
      <c r="AM27" s="171">
        <f t="shared" si="7"/>
        <v>14016000</v>
      </c>
      <c r="AN27" s="171">
        <f t="shared" si="8"/>
        <v>35040000</v>
      </c>
      <c r="AX27" s="168">
        <v>27</v>
      </c>
    </row>
    <row r="28" spans="1:50">
      <c r="A28" s="95" t="str">
        <f t="shared" si="0"/>
        <v>\cite{Hondo2005}</v>
      </c>
      <c r="B28" s="107" t="s">
        <v>423</v>
      </c>
      <c r="C28" s="107">
        <v>2005</v>
      </c>
      <c r="E28" s="11">
        <f t="shared" si="2"/>
        <v>2005</v>
      </c>
      <c r="F28" s="185">
        <f>LOOKUP(E28,Total_wind_installed_capacity!$A$3:$A$28,Total_wind_installed_capacity!$H$3:$H$28)</f>
        <v>57.6165175</v>
      </c>
      <c r="J28" s="170">
        <v>300</v>
      </c>
      <c r="K28">
        <v>1</v>
      </c>
      <c r="L28" s="188">
        <f t="shared" si="3"/>
        <v>300</v>
      </c>
      <c r="N28" t="s">
        <v>348</v>
      </c>
      <c r="AE28" s="170">
        <f t="shared" si="4"/>
        <v>465156</v>
      </c>
      <c r="AG28" s="168">
        <f t="shared" si="5"/>
        <v>1.5505199999999999</v>
      </c>
      <c r="AI28" s="164">
        <v>0.2</v>
      </c>
      <c r="AJ28" s="171">
        <f t="shared" si="6"/>
        <v>525600</v>
      </c>
      <c r="AL28">
        <v>30</v>
      </c>
      <c r="AM28" s="171">
        <f t="shared" si="7"/>
        <v>15768000</v>
      </c>
      <c r="AN28" s="171">
        <f t="shared" si="8"/>
        <v>52560000</v>
      </c>
      <c r="AX28" s="168">
        <v>29.5</v>
      </c>
    </row>
    <row r="29" spans="1:50">
      <c r="A29" s="95" t="str">
        <f t="shared" si="0"/>
        <v>\cite{Hondo2005}</v>
      </c>
      <c r="B29" s="107" t="s">
        <v>423</v>
      </c>
      <c r="C29" s="107">
        <v>2005</v>
      </c>
      <c r="E29" s="11">
        <f t="shared" si="2"/>
        <v>2005</v>
      </c>
      <c r="F29" s="185">
        <f>LOOKUP(E29,Total_wind_installed_capacity!$A$3:$A$28,Total_wind_installed_capacity!$H$3:$H$28)</f>
        <v>57.6165175</v>
      </c>
      <c r="J29" s="170">
        <v>300</v>
      </c>
      <c r="K29">
        <v>1</v>
      </c>
      <c r="L29" s="188">
        <f t="shared" si="3"/>
        <v>300</v>
      </c>
      <c r="N29" t="s">
        <v>348</v>
      </c>
      <c r="AE29" s="170">
        <f t="shared" si="4"/>
        <v>420480</v>
      </c>
      <c r="AG29" s="168">
        <f t="shared" si="5"/>
        <v>1.4016</v>
      </c>
      <c r="AI29" s="164">
        <v>0.2</v>
      </c>
      <c r="AJ29" s="171">
        <f t="shared" si="6"/>
        <v>525600</v>
      </c>
      <c r="AL29">
        <v>20</v>
      </c>
      <c r="AM29" s="171">
        <f t="shared" si="7"/>
        <v>10512000</v>
      </c>
      <c r="AN29" s="171">
        <f t="shared" si="8"/>
        <v>35040000</v>
      </c>
      <c r="AX29" s="168">
        <v>40</v>
      </c>
    </row>
    <row r="30" spans="1:50">
      <c r="A30" s="95" t="str">
        <f t="shared" si="0"/>
        <v>\cite{Hondo2005}</v>
      </c>
      <c r="B30" s="107" t="s">
        <v>423</v>
      </c>
      <c r="C30" s="107">
        <v>2005</v>
      </c>
      <c r="E30" s="11">
        <f t="shared" si="2"/>
        <v>2005</v>
      </c>
      <c r="F30" s="185">
        <f>LOOKUP(E30,Total_wind_installed_capacity!$A$3:$A$28,Total_wind_installed_capacity!$H$3:$H$28)</f>
        <v>57.6165175</v>
      </c>
      <c r="J30" s="170">
        <v>400</v>
      </c>
      <c r="K30">
        <v>1</v>
      </c>
      <c r="L30" s="188">
        <f t="shared" si="3"/>
        <v>400</v>
      </c>
      <c r="N30" t="s">
        <v>348</v>
      </c>
      <c r="AE30" s="170">
        <f t="shared" si="4"/>
        <v>343392</v>
      </c>
      <c r="AG30" s="168">
        <f t="shared" si="5"/>
        <v>0.85848000000000002</v>
      </c>
      <c r="AI30" s="164">
        <v>0.2</v>
      </c>
      <c r="AJ30" s="171">
        <f t="shared" si="6"/>
        <v>700800</v>
      </c>
      <c r="AL30">
        <v>10</v>
      </c>
      <c r="AM30" s="171">
        <f t="shared" si="7"/>
        <v>7008000</v>
      </c>
      <c r="AN30" s="171">
        <f t="shared" si="8"/>
        <v>17520000</v>
      </c>
      <c r="AX30" s="168">
        <v>49</v>
      </c>
    </row>
    <row r="31" spans="1:50">
      <c r="A31" s="95" t="str">
        <f t="shared" si="0"/>
        <v>\cite{Hondo2005}</v>
      </c>
      <c r="B31" s="107" t="s">
        <v>423</v>
      </c>
      <c r="C31" s="107">
        <v>2005</v>
      </c>
      <c r="E31" s="11">
        <f t="shared" si="2"/>
        <v>2005</v>
      </c>
      <c r="F31" s="185">
        <f>LOOKUP(E31,Total_wind_installed_capacity!$A$3:$A$28,Total_wind_installed_capacity!$H$3:$H$28)</f>
        <v>57.6165175</v>
      </c>
      <c r="J31" s="170">
        <v>300</v>
      </c>
      <c r="K31">
        <v>1</v>
      </c>
      <c r="L31" s="188">
        <f t="shared" si="3"/>
        <v>300</v>
      </c>
      <c r="N31" t="s">
        <v>348</v>
      </c>
      <c r="AE31" s="170">
        <f t="shared" si="4"/>
        <v>378432</v>
      </c>
      <c r="AG31" s="168">
        <f t="shared" si="5"/>
        <v>1.2614400000000001</v>
      </c>
      <c r="AI31" s="164">
        <v>0.2</v>
      </c>
      <c r="AJ31" s="171">
        <f t="shared" si="6"/>
        <v>525600</v>
      </c>
      <c r="AL31">
        <v>10</v>
      </c>
      <c r="AM31" s="171">
        <f t="shared" si="7"/>
        <v>5256000</v>
      </c>
      <c r="AN31" s="171">
        <f t="shared" si="8"/>
        <v>17520000</v>
      </c>
      <c r="AX31" s="168">
        <v>72</v>
      </c>
    </row>
    <row r="32" spans="1:50">
      <c r="A32" s="95" t="str">
        <f t="shared" si="0"/>
        <v>\cite{Jacobson2009}</v>
      </c>
      <c r="B32" s="107" t="s">
        <v>424</v>
      </c>
      <c r="C32" s="107">
        <v>2009</v>
      </c>
      <c r="E32" s="11">
        <f t="shared" si="2"/>
        <v>2009</v>
      </c>
      <c r="F32" s="185">
        <f>LOOKUP(E32,Total_wind_installed_capacity!$A$3:$A$28,Total_wind_installed_capacity!$H$3:$H$28)</f>
        <v>151.3704745</v>
      </c>
      <c r="J32" s="170">
        <v>5000</v>
      </c>
      <c r="K32">
        <v>1</v>
      </c>
      <c r="L32" s="188">
        <f t="shared" si="3"/>
        <v>5000</v>
      </c>
      <c r="N32" t="s">
        <v>348</v>
      </c>
      <c r="AE32" s="170">
        <f t="shared" si="4"/>
        <v>1563660</v>
      </c>
      <c r="AG32" s="168">
        <f t="shared" si="5"/>
        <v>0.31273200000000001</v>
      </c>
      <c r="AI32" s="164">
        <v>0.42499999999999999</v>
      </c>
      <c r="AJ32" s="171">
        <f t="shared" si="6"/>
        <v>18615000</v>
      </c>
      <c r="AL32">
        <v>30</v>
      </c>
      <c r="AM32" s="171">
        <f t="shared" si="7"/>
        <v>558450000</v>
      </c>
      <c r="AN32" s="171">
        <f t="shared" si="8"/>
        <v>111690000</v>
      </c>
      <c r="AX32" s="168">
        <v>2.8</v>
      </c>
    </row>
    <row r="33" spans="1:50">
      <c r="A33" s="95" t="str">
        <f t="shared" si="0"/>
        <v>\cite{Jacobson2009}</v>
      </c>
      <c r="B33" s="107" t="s">
        <v>424</v>
      </c>
      <c r="C33" s="107">
        <v>2009</v>
      </c>
      <c r="E33" s="11">
        <f t="shared" si="2"/>
        <v>2009</v>
      </c>
      <c r="F33" s="185">
        <f>LOOKUP(E33,Total_wind_installed_capacity!$A$3:$A$28,Total_wind_installed_capacity!$H$3:$H$28)</f>
        <v>151.3704745</v>
      </c>
      <c r="J33" s="170">
        <v>5000</v>
      </c>
      <c r="K33">
        <v>1</v>
      </c>
      <c r="L33" s="188">
        <f t="shared" si="3"/>
        <v>5000</v>
      </c>
      <c r="N33" t="s">
        <v>348</v>
      </c>
      <c r="AE33" s="170">
        <f t="shared" si="4"/>
        <v>1563660</v>
      </c>
      <c r="AG33" s="168">
        <f t="shared" si="5"/>
        <v>0.31273200000000001</v>
      </c>
      <c r="AI33" s="164">
        <v>0.42499999999999999</v>
      </c>
      <c r="AJ33" s="171">
        <f t="shared" si="6"/>
        <v>18615000</v>
      </c>
      <c r="AL33">
        <v>20</v>
      </c>
      <c r="AM33" s="171">
        <f t="shared" si="7"/>
        <v>372300000</v>
      </c>
      <c r="AN33" s="171">
        <f t="shared" si="8"/>
        <v>74460000</v>
      </c>
      <c r="AX33" s="168">
        <v>4.2</v>
      </c>
    </row>
    <row r="34" spans="1:50">
      <c r="A34" s="95" t="str">
        <f t="shared" ref="A34:A65" si="9">CONCATENATE("\cite{",B34,C34,"}")</f>
        <v>\cite{Jacobson2009}</v>
      </c>
      <c r="B34" s="107" t="s">
        <v>424</v>
      </c>
      <c r="C34" s="107">
        <v>2009</v>
      </c>
      <c r="E34" s="11">
        <f t="shared" si="2"/>
        <v>2009</v>
      </c>
      <c r="F34" s="185">
        <f>LOOKUP(E34,Total_wind_installed_capacity!$A$3:$A$28,Total_wind_installed_capacity!$H$3:$H$28)</f>
        <v>151.3704745</v>
      </c>
      <c r="J34" s="170">
        <v>5000</v>
      </c>
      <c r="K34">
        <v>1</v>
      </c>
      <c r="L34" s="188">
        <f t="shared" si="3"/>
        <v>5000</v>
      </c>
      <c r="N34" t="s">
        <v>348</v>
      </c>
      <c r="AE34" s="170">
        <f t="shared" si="4"/>
        <v>2858738.4</v>
      </c>
      <c r="AG34" s="168">
        <f t="shared" si="5"/>
        <v>0.57174767999999998</v>
      </c>
      <c r="AI34" s="164">
        <v>0.29399999999999998</v>
      </c>
      <c r="AJ34" s="171">
        <f t="shared" si="6"/>
        <v>12877200</v>
      </c>
      <c r="AL34">
        <v>30</v>
      </c>
      <c r="AM34" s="171">
        <f t="shared" si="7"/>
        <v>386316000</v>
      </c>
      <c r="AN34" s="171">
        <f t="shared" si="8"/>
        <v>77263200</v>
      </c>
      <c r="AX34" s="168">
        <v>7.4</v>
      </c>
    </row>
    <row r="35" spans="1:50">
      <c r="A35" s="95" t="str">
        <f t="shared" si="9"/>
        <v>\cite{Jacobson2009}</v>
      </c>
      <c r="B35" s="107" t="s">
        <v>424</v>
      </c>
      <c r="C35" s="107">
        <v>2009</v>
      </c>
      <c r="E35" s="11">
        <f t="shared" si="2"/>
        <v>2009</v>
      </c>
      <c r="F35" s="185">
        <f>LOOKUP(E35,Total_wind_installed_capacity!$A$3:$A$28,Total_wind_installed_capacity!$H$3:$H$28)</f>
        <v>151.3704745</v>
      </c>
      <c r="J35" s="170">
        <v>5000</v>
      </c>
      <c r="K35">
        <v>1</v>
      </c>
      <c r="L35" s="188">
        <f t="shared" si="3"/>
        <v>5000</v>
      </c>
      <c r="N35" t="s">
        <v>348</v>
      </c>
      <c r="AE35" s="170">
        <f t="shared" si="4"/>
        <v>2858738.4</v>
      </c>
      <c r="AG35" s="168">
        <f t="shared" si="5"/>
        <v>0.57174767999999998</v>
      </c>
      <c r="AI35" s="164">
        <v>0.29399999999999998</v>
      </c>
      <c r="AJ35" s="171">
        <f t="shared" si="6"/>
        <v>12877200</v>
      </c>
      <c r="AL35">
        <v>20</v>
      </c>
      <c r="AM35" s="171">
        <f t="shared" si="7"/>
        <v>257544000</v>
      </c>
      <c r="AN35" s="171">
        <f t="shared" si="8"/>
        <v>51508800</v>
      </c>
      <c r="AX35" s="168">
        <v>11.1</v>
      </c>
    </row>
    <row r="36" spans="1:50">
      <c r="A36" s="95" t="str">
        <f t="shared" si="9"/>
        <v>\cite{Jungbluth2005}</v>
      </c>
      <c r="B36" s="107" t="s">
        <v>425</v>
      </c>
      <c r="C36" s="107">
        <v>2005</v>
      </c>
      <c r="E36" s="11">
        <f t="shared" si="2"/>
        <v>2005</v>
      </c>
      <c r="F36" s="185">
        <f>LOOKUP(E36,Total_wind_installed_capacity!$A$3:$A$28,Total_wind_installed_capacity!$H$3:$H$28)</f>
        <v>57.6165175</v>
      </c>
      <c r="J36" s="170">
        <v>800</v>
      </c>
      <c r="K36">
        <v>1</v>
      </c>
      <c r="L36" s="188">
        <f t="shared" si="3"/>
        <v>800</v>
      </c>
      <c r="N36" t="s">
        <v>348</v>
      </c>
      <c r="AE36" s="170">
        <f t="shared" si="4"/>
        <v>462528</v>
      </c>
      <c r="AG36" s="168">
        <f t="shared" si="5"/>
        <v>0.57816000000000001</v>
      </c>
      <c r="AI36" s="164">
        <v>0.2</v>
      </c>
      <c r="AJ36" s="171">
        <f t="shared" si="6"/>
        <v>1401600</v>
      </c>
      <c r="AL36">
        <v>30</v>
      </c>
      <c r="AM36" s="171">
        <f t="shared" si="7"/>
        <v>42048000</v>
      </c>
      <c r="AN36" s="171">
        <f t="shared" si="8"/>
        <v>52560000</v>
      </c>
      <c r="AX36" s="168">
        <v>11</v>
      </c>
    </row>
    <row r="37" spans="1:50">
      <c r="A37" s="95" t="str">
        <f t="shared" si="9"/>
        <v>\cite{Jungbluth2005}</v>
      </c>
      <c r="B37" s="107" t="s">
        <v>425</v>
      </c>
      <c r="C37" s="107">
        <v>2005</v>
      </c>
      <c r="E37" s="11">
        <f t="shared" si="2"/>
        <v>2005</v>
      </c>
      <c r="F37" s="185">
        <f>LOOKUP(E37,Total_wind_installed_capacity!$A$3:$A$28,Total_wind_installed_capacity!$H$3:$H$28)</f>
        <v>57.6165175</v>
      </c>
      <c r="J37" s="170">
        <v>2000</v>
      </c>
      <c r="K37">
        <v>1</v>
      </c>
      <c r="L37" s="188">
        <f t="shared" si="3"/>
        <v>2000</v>
      </c>
      <c r="N37" t="s">
        <v>359</v>
      </c>
      <c r="AE37" s="170">
        <f t="shared" si="4"/>
        <v>1366560</v>
      </c>
      <c r="AG37" s="168">
        <f t="shared" si="5"/>
        <v>0.68328</v>
      </c>
      <c r="AI37" s="164">
        <v>0.3</v>
      </c>
      <c r="AJ37" s="171">
        <f t="shared" si="6"/>
        <v>5256000</v>
      </c>
      <c r="AL37">
        <v>20</v>
      </c>
      <c r="AM37" s="171">
        <f t="shared" si="7"/>
        <v>105120000</v>
      </c>
      <c r="AN37" s="171">
        <f t="shared" si="8"/>
        <v>52560000</v>
      </c>
      <c r="AX37" s="168">
        <v>13</v>
      </c>
    </row>
    <row r="38" spans="1:50">
      <c r="A38" s="95" t="str">
        <f t="shared" si="9"/>
        <v>\cite{Khan2005}</v>
      </c>
      <c r="B38" s="107" t="s">
        <v>415</v>
      </c>
      <c r="C38" s="107">
        <v>2005</v>
      </c>
      <c r="E38" s="11">
        <f t="shared" si="2"/>
        <v>2005</v>
      </c>
      <c r="F38" s="185">
        <f>LOOKUP(E38,Total_wind_installed_capacity!$A$3:$A$28,Total_wind_installed_capacity!$H$3:$H$28)</f>
        <v>57.6165175</v>
      </c>
      <c r="J38" s="170">
        <v>500</v>
      </c>
      <c r="K38">
        <v>1</v>
      </c>
      <c r="L38" s="188">
        <f t="shared" si="3"/>
        <v>500</v>
      </c>
      <c r="N38" t="s">
        <v>348</v>
      </c>
      <c r="AE38" s="170">
        <f t="shared" si="4"/>
        <v>0</v>
      </c>
      <c r="AG38" s="168">
        <f t="shared" si="5"/>
        <v>0</v>
      </c>
      <c r="AI38" s="164"/>
      <c r="AJ38" s="196">
        <f>J38*8760*AI38</f>
        <v>0</v>
      </c>
      <c r="AL38">
        <v>20</v>
      </c>
      <c r="AM38" s="196">
        <f>AJ38*AL38</f>
        <v>0</v>
      </c>
      <c r="AN38" s="171">
        <f t="shared" si="8"/>
        <v>0</v>
      </c>
      <c r="AX38" s="168">
        <v>16.86</v>
      </c>
    </row>
    <row r="39" spans="1:50">
      <c r="A39" s="95" t="str">
        <f t="shared" si="9"/>
        <v>\cite{Krewitt1997}</v>
      </c>
      <c r="B39" s="107" t="s">
        <v>426</v>
      </c>
      <c r="C39" s="107">
        <v>1997</v>
      </c>
      <c r="E39" s="11">
        <f t="shared" si="2"/>
        <v>1997</v>
      </c>
      <c r="F39" s="185">
        <f>LOOKUP(E39,Total_wind_installed_capacity!$A$3:$A$28,Total_wind_installed_capacity!$H$3:$H$28)</f>
        <v>6.7156999999999991</v>
      </c>
      <c r="J39" s="170">
        <v>250</v>
      </c>
      <c r="K39">
        <v>1</v>
      </c>
      <c r="L39" s="188">
        <f t="shared" si="3"/>
        <v>250</v>
      </c>
      <c r="N39" t="s">
        <v>348</v>
      </c>
      <c r="AE39" s="170">
        <f t="shared" si="4"/>
        <v>75393.288</v>
      </c>
      <c r="AG39" s="168">
        <f t="shared" si="5"/>
        <v>0.30157315200000001</v>
      </c>
      <c r="AI39" s="164">
        <v>0.24657534246575341</v>
      </c>
      <c r="AJ39" s="171">
        <f t="shared" si="6"/>
        <v>540000</v>
      </c>
      <c r="AL39">
        <v>20</v>
      </c>
      <c r="AM39" s="171">
        <f t="shared" si="7"/>
        <v>10800000</v>
      </c>
      <c r="AN39" s="171">
        <f t="shared" si="8"/>
        <v>43200000</v>
      </c>
      <c r="AX39" s="168">
        <v>6.9808599999999998</v>
      </c>
    </row>
    <row r="40" spans="1:50">
      <c r="A40" s="95" t="str">
        <f t="shared" si="9"/>
        <v>\cite{Kuemmel a1997}</v>
      </c>
      <c r="B40" s="107" t="s">
        <v>448</v>
      </c>
      <c r="C40" s="107">
        <v>1997</v>
      </c>
      <c r="E40" s="11">
        <f t="shared" si="2"/>
        <v>1997</v>
      </c>
      <c r="F40" s="185">
        <f>LOOKUP(E40,Total_wind_installed_capacity!$A$3:$A$28,Total_wind_installed_capacity!$H$3:$H$28)</f>
        <v>6.7156999999999991</v>
      </c>
      <c r="J40" s="170">
        <v>2000</v>
      </c>
      <c r="K40">
        <v>1</v>
      </c>
      <c r="L40" s="188">
        <f t="shared" si="3"/>
        <v>2000</v>
      </c>
      <c r="N40" t="s">
        <v>456</v>
      </c>
      <c r="AE40" s="170">
        <f t="shared" si="4"/>
        <v>625000</v>
      </c>
      <c r="AG40" s="168">
        <f t="shared" si="5"/>
        <v>0.3125</v>
      </c>
      <c r="AI40" s="164">
        <v>0.28538812785388129</v>
      </c>
      <c r="AJ40" s="171">
        <f t="shared" si="6"/>
        <v>5000000</v>
      </c>
      <c r="AL40">
        <v>25</v>
      </c>
      <c r="AM40" s="171">
        <f t="shared" si="7"/>
        <v>125000000</v>
      </c>
      <c r="AN40" s="171">
        <f t="shared" si="8"/>
        <v>62500000</v>
      </c>
      <c r="AX40" s="168">
        <v>5</v>
      </c>
    </row>
    <row r="41" spans="1:50">
      <c r="A41" s="95" t="str">
        <f t="shared" si="9"/>
        <v>\cite{Kuemmel1997}</v>
      </c>
      <c r="B41" s="107" t="s">
        <v>427</v>
      </c>
      <c r="C41" s="107">
        <v>1997</v>
      </c>
      <c r="E41" s="11">
        <f t="shared" si="2"/>
        <v>1997</v>
      </c>
      <c r="F41" s="185">
        <f>LOOKUP(E41,Total_wind_installed_capacity!$A$3:$A$28,Total_wind_installed_capacity!$H$3:$H$28)</f>
        <v>6.7156999999999991</v>
      </c>
      <c r="J41" s="170">
        <v>400</v>
      </c>
      <c r="K41">
        <v>1</v>
      </c>
      <c r="L41" s="188">
        <f t="shared" si="3"/>
        <v>400</v>
      </c>
      <c r="N41" t="s">
        <v>348</v>
      </c>
      <c r="AE41" s="170">
        <f t="shared" si="4"/>
        <v>192000</v>
      </c>
      <c r="AG41" s="168">
        <f t="shared" si="5"/>
        <v>0.48</v>
      </c>
      <c r="AI41" s="164">
        <v>0.22831050228310501</v>
      </c>
      <c r="AJ41" s="171">
        <f t="shared" si="6"/>
        <v>800000</v>
      </c>
      <c r="AL41">
        <v>20</v>
      </c>
      <c r="AM41" s="171">
        <f t="shared" si="7"/>
        <v>16000000</v>
      </c>
      <c r="AN41" s="171">
        <f t="shared" si="8"/>
        <v>40000000</v>
      </c>
      <c r="AX41" s="168">
        <v>12</v>
      </c>
    </row>
    <row r="42" spans="1:50">
      <c r="A42" s="95" t="str">
        <f t="shared" si="9"/>
        <v>\cite{Lee b2008}</v>
      </c>
      <c r="B42" s="107" t="s">
        <v>449</v>
      </c>
      <c r="C42" s="107">
        <v>2008</v>
      </c>
      <c r="E42" s="11">
        <f t="shared" si="2"/>
        <v>2008</v>
      </c>
      <c r="F42" s="185">
        <f>LOOKUP(E42,Total_wind_installed_capacity!$A$3:$A$28,Total_wind_installed_capacity!$H$3:$H$28)</f>
        <v>116.9072445</v>
      </c>
      <c r="J42" s="170">
        <v>853.99999999999989</v>
      </c>
      <c r="K42">
        <v>1</v>
      </c>
      <c r="L42" s="188">
        <f t="shared" si="3"/>
        <v>853.99999999999989</v>
      </c>
      <c r="N42" t="s">
        <v>348</v>
      </c>
      <c r="AE42" s="170">
        <f t="shared" si="4"/>
        <v>178719.05318399999</v>
      </c>
      <c r="AG42" s="168">
        <f t="shared" si="5"/>
        <v>0.20927289600000001</v>
      </c>
      <c r="AI42" s="164">
        <v>0.33179999999999998</v>
      </c>
      <c r="AJ42" s="171">
        <f t="shared" si="6"/>
        <v>2482209.0719999997</v>
      </c>
      <c r="AL42">
        <v>20</v>
      </c>
      <c r="AM42" s="171">
        <f t="shared" si="7"/>
        <v>49644181.439999998</v>
      </c>
      <c r="AN42" s="171">
        <f t="shared" si="8"/>
        <v>58131360.000000007</v>
      </c>
      <c r="AX42" s="168">
        <v>3.6</v>
      </c>
    </row>
    <row r="43" spans="1:50">
      <c r="A43" s="95" t="str">
        <f t="shared" si="9"/>
        <v>\cite{Lenzen2004}</v>
      </c>
      <c r="B43" s="107" t="s">
        <v>428</v>
      </c>
      <c r="C43" s="107">
        <v>2004</v>
      </c>
      <c r="E43" s="11">
        <f t="shared" si="2"/>
        <v>2004</v>
      </c>
      <c r="F43" s="185">
        <f>LOOKUP(E43,Total_wind_installed_capacity!$A$3:$A$28,Total_wind_installed_capacity!$H$3:$H$28)</f>
        <v>46.3964675</v>
      </c>
      <c r="J43" s="170">
        <v>600</v>
      </c>
      <c r="K43">
        <v>1</v>
      </c>
      <c r="L43" s="188">
        <f t="shared" si="3"/>
        <v>600</v>
      </c>
      <c r="N43" t="s">
        <v>348</v>
      </c>
      <c r="AE43" s="170">
        <f t="shared" si="4"/>
        <v>142357.04</v>
      </c>
      <c r="AG43" s="168">
        <f t="shared" si="5"/>
        <v>0.23726173333333336</v>
      </c>
      <c r="AI43" s="164">
        <v>0.67711681887366815</v>
      </c>
      <c r="AJ43" s="171">
        <f t="shared" si="6"/>
        <v>3558926</v>
      </c>
      <c r="AL43">
        <v>20</v>
      </c>
      <c r="AM43" s="171">
        <f t="shared" si="7"/>
        <v>71178520</v>
      </c>
      <c r="AN43" s="171">
        <f t="shared" si="8"/>
        <v>118630866.66666667</v>
      </c>
      <c r="AX43" s="168">
        <v>2</v>
      </c>
    </row>
    <row r="44" spans="1:50">
      <c r="A44" s="95" t="str">
        <f t="shared" si="9"/>
        <v>\cite{Lenzen2004}</v>
      </c>
      <c r="B44" s="107" t="s">
        <v>428</v>
      </c>
      <c r="C44" s="107">
        <v>2004</v>
      </c>
      <c r="E44" s="11">
        <f t="shared" si="2"/>
        <v>2004</v>
      </c>
      <c r="F44" s="185">
        <f>LOOKUP(E44,Total_wind_installed_capacity!$A$3:$A$28,Total_wind_installed_capacity!$H$3:$H$28)</f>
        <v>46.3964675</v>
      </c>
      <c r="J44" s="170">
        <v>600</v>
      </c>
      <c r="K44">
        <v>1</v>
      </c>
      <c r="L44" s="188">
        <f t="shared" si="3"/>
        <v>600</v>
      </c>
      <c r="N44" t="s">
        <v>348</v>
      </c>
      <c r="AE44" s="170">
        <f t="shared" si="4"/>
        <v>149946.64000000001</v>
      </c>
      <c r="AG44" s="168">
        <f t="shared" si="5"/>
        <v>0.24991106666666671</v>
      </c>
      <c r="AI44" s="164">
        <v>0.71321651445966516</v>
      </c>
      <c r="AJ44" s="171">
        <f t="shared" si="6"/>
        <v>3748666</v>
      </c>
      <c r="AL44">
        <v>20</v>
      </c>
      <c r="AM44" s="171">
        <f t="shared" si="7"/>
        <v>74973320</v>
      </c>
      <c r="AN44" s="171">
        <f t="shared" si="8"/>
        <v>124955533.33333334</v>
      </c>
      <c r="AX44" s="168">
        <v>2</v>
      </c>
    </row>
    <row r="45" spans="1:50">
      <c r="A45" s="95" t="str">
        <f t="shared" si="9"/>
        <v>\cite{Lenzen2004}</v>
      </c>
      <c r="B45" s="107" t="s">
        <v>428</v>
      </c>
      <c r="C45" s="107">
        <v>2004</v>
      </c>
      <c r="E45" s="11">
        <f t="shared" si="2"/>
        <v>2004</v>
      </c>
      <c r="F45" s="185">
        <f>LOOKUP(E45,Total_wind_installed_capacity!$A$3:$A$28,Total_wind_installed_capacity!$H$3:$H$28)</f>
        <v>46.3964675</v>
      </c>
      <c r="J45" s="170">
        <v>600</v>
      </c>
      <c r="K45">
        <v>1</v>
      </c>
      <c r="L45" s="188">
        <f t="shared" si="3"/>
        <v>600</v>
      </c>
      <c r="N45" t="s">
        <v>348</v>
      </c>
      <c r="AE45" s="170">
        <f t="shared" si="4"/>
        <v>116416.35999999999</v>
      </c>
      <c r="AG45" s="168">
        <f t="shared" si="5"/>
        <v>0.19402726666666664</v>
      </c>
      <c r="AI45" s="164">
        <v>0.55373078386605779</v>
      </c>
      <c r="AJ45" s="171">
        <f t="shared" si="6"/>
        <v>2910408.9999999995</v>
      </c>
      <c r="AL45">
        <v>20</v>
      </c>
      <c r="AM45" s="171">
        <f t="shared" si="7"/>
        <v>58208179.999999993</v>
      </c>
      <c r="AN45" s="171">
        <f t="shared" si="8"/>
        <v>97013633.333333313</v>
      </c>
      <c r="AX45" s="168">
        <v>2</v>
      </c>
    </row>
    <row r="46" spans="1:50">
      <c r="A46" s="95" t="str">
        <f t="shared" si="9"/>
        <v>\cite{Lenzen2004}</v>
      </c>
      <c r="B46" s="107" t="s">
        <v>428</v>
      </c>
      <c r="C46" s="107">
        <v>2004</v>
      </c>
      <c r="E46" s="11">
        <f t="shared" si="2"/>
        <v>2004</v>
      </c>
      <c r="F46" s="185">
        <f>LOOKUP(E46,Total_wind_installed_capacity!$A$3:$A$28,Total_wind_installed_capacity!$H$3:$H$28)</f>
        <v>46.3964675</v>
      </c>
      <c r="J46" s="170">
        <v>600</v>
      </c>
      <c r="K46">
        <v>1</v>
      </c>
      <c r="L46" s="188">
        <f t="shared" si="3"/>
        <v>600</v>
      </c>
      <c r="N46" t="s">
        <v>348</v>
      </c>
      <c r="AE46" s="170">
        <f t="shared" si="4"/>
        <v>213535.56</v>
      </c>
      <c r="AG46" s="168">
        <f t="shared" si="5"/>
        <v>0.3558926</v>
      </c>
      <c r="AI46" s="164">
        <v>0.67711681887366815</v>
      </c>
      <c r="AJ46" s="171">
        <f t="shared" si="6"/>
        <v>3558926</v>
      </c>
      <c r="AL46">
        <v>20</v>
      </c>
      <c r="AM46" s="171">
        <f t="shared" si="7"/>
        <v>71178520</v>
      </c>
      <c r="AN46" s="171">
        <f t="shared" si="8"/>
        <v>118630866.66666667</v>
      </c>
      <c r="AX46" s="168">
        <v>3</v>
      </c>
    </row>
    <row r="47" spans="1:50">
      <c r="A47" s="95" t="str">
        <f t="shared" si="9"/>
        <v>\cite{Lenzen2004}</v>
      </c>
      <c r="B47" s="107" t="s">
        <v>428</v>
      </c>
      <c r="C47" s="107">
        <v>2004</v>
      </c>
      <c r="E47" s="11">
        <f t="shared" si="2"/>
        <v>2004</v>
      </c>
      <c r="F47" s="185">
        <f>LOOKUP(E47,Total_wind_installed_capacity!$A$3:$A$28,Total_wind_installed_capacity!$H$3:$H$28)</f>
        <v>46.3964675</v>
      </c>
      <c r="J47" s="170">
        <v>600</v>
      </c>
      <c r="K47">
        <v>1</v>
      </c>
      <c r="L47" s="188">
        <f t="shared" si="3"/>
        <v>600</v>
      </c>
      <c r="N47" t="s">
        <v>348</v>
      </c>
      <c r="AE47" s="170">
        <f t="shared" si="4"/>
        <v>224919.96</v>
      </c>
      <c r="AG47" s="168">
        <f t="shared" si="5"/>
        <v>0.37486659999999999</v>
      </c>
      <c r="AI47" s="164">
        <v>0.71321651445966516</v>
      </c>
      <c r="AJ47" s="171">
        <f t="shared" si="6"/>
        <v>3748666</v>
      </c>
      <c r="AL47">
        <v>20</v>
      </c>
      <c r="AM47" s="171">
        <f t="shared" si="7"/>
        <v>74973320</v>
      </c>
      <c r="AN47" s="171">
        <f t="shared" si="8"/>
        <v>124955533.33333334</v>
      </c>
      <c r="AX47" s="168">
        <v>3</v>
      </c>
    </row>
    <row r="48" spans="1:50">
      <c r="A48" s="95" t="str">
        <f t="shared" si="9"/>
        <v>\cite{Lenzen2004}</v>
      </c>
      <c r="B48" s="107" t="s">
        <v>428</v>
      </c>
      <c r="C48" s="107">
        <v>2004</v>
      </c>
      <c r="E48" s="11">
        <f t="shared" si="2"/>
        <v>2004</v>
      </c>
      <c r="F48" s="185">
        <f>LOOKUP(E48,Total_wind_installed_capacity!$A$3:$A$28,Total_wind_installed_capacity!$H$3:$H$28)</f>
        <v>46.3964675</v>
      </c>
      <c r="J48" s="170">
        <v>600</v>
      </c>
      <c r="K48">
        <v>1</v>
      </c>
      <c r="L48" s="188">
        <f t="shared" si="3"/>
        <v>600</v>
      </c>
      <c r="N48" t="s">
        <v>348</v>
      </c>
      <c r="AE48" s="170">
        <f t="shared" si="4"/>
        <v>174624.53999999998</v>
      </c>
      <c r="AG48" s="168">
        <f t="shared" si="5"/>
        <v>0.29104089999999999</v>
      </c>
      <c r="AI48" s="164">
        <v>0.55373078386605779</v>
      </c>
      <c r="AJ48" s="171">
        <f t="shared" si="6"/>
        <v>2910408.9999999995</v>
      </c>
      <c r="AL48">
        <v>20</v>
      </c>
      <c r="AM48" s="171">
        <f t="shared" si="7"/>
        <v>58208179.999999993</v>
      </c>
      <c r="AN48" s="171">
        <f t="shared" si="8"/>
        <v>97013633.333333313</v>
      </c>
      <c r="AX48" s="168">
        <v>3</v>
      </c>
    </row>
    <row r="49" spans="1:50">
      <c r="A49" s="95" t="str">
        <f t="shared" si="9"/>
        <v>\cite{Lenzen2004}</v>
      </c>
      <c r="B49" s="107" t="s">
        <v>428</v>
      </c>
      <c r="C49" s="107">
        <v>2004</v>
      </c>
      <c r="E49" s="11">
        <f t="shared" si="2"/>
        <v>2004</v>
      </c>
      <c r="F49" s="185">
        <f>LOOKUP(E49,Total_wind_installed_capacity!$A$3:$A$28,Total_wind_installed_capacity!$H$3:$H$28)</f>
        <v>46.3964675</v>
      </c>
      <c r="J49" s="170">
        <v>600</v>
      </c>
      <c r="K49">
        <v>1</v>
      </c>
      <c r="L49" s="188">
        <f t="shared" si="3"/>
        <v>600</v>
      </c>
      <c r="N49" t="s">
        <v>348</v>
      </c>
      <c r="AE49" s="170">
        <f t="shared" si="4"/>
        <v>131784.24</v>
      </c>
      <c r="AG49" s="168">
        <f t="shared" si="5"/>
        <v>0.21964039999999996</v>
      </c>
      <c r="AI49" s="164">
        <v>0.41788508371385086</v>
      </c>
      <c r="AJ49" s="171">
        <f t="shared" si="6"/>
        <v>2196404</v>
      </c>
      <c r="AL49">
        <v>20</v>
      </c>
      <c r="AM49" s="171">
        <f t="shared" si="7"/>
        <v>43928080</v>
      </c>
      <c r="AN49" s="171">
        <f t="shared" si="8"/>
        <v>73213466.666666657</v>
      </c>
      <c r="AX49" s="168">
        <v>3</v>
      </c>
    </row>
    <row r="50" spans="1:50">
      <c r="A50" s="95" t="str">
        <f t="shared" si="9"/>
        <v>\cite{Lenzen2004}</v>
      </c>
      <c r="B50" s="107" t="s">
        <v>428</v>
      </c>
      <c r="C50" s="107">
        <v>2004</v>
      </c>
      <c r="E50" s="11">
        <f t="shared" si="2"/>
        <v>2004</v>
      </c>
      <c r="F50" s="185">
        <f>LOOKUP(E50,Total_wind_installed_capacity!$A$3:$A$28,Total_wind_installed_capacity!$H$3:$H$28)</f>
        <v>46.3964675</v>
      </c>
      <c r="J50" s="170">
        <v>600</v>
      </c>
      <c r="K50">
        <v>1</v>
      </c>
      <c r="L50" s="188">
        <f t="shared" si="3"/>
        <v>600</v>
      </c>
      <c r="N50" t="s">
        <v>348</v>
      </c>
      <c r="AE50" s="170">
        <f t="shared" si="4"/>
        <v>145207.85999999999</v>
      </c>
      <c r="AG50" s="168">
        <f t="shared" si="5"/>
        <v>0.24201309999999998</v>
      </c>
      <c r="AI50" s="164">
        <v>0.46045110350076102</v>
      </c>
      <c r="AJ50" s="171">
        <f t="shared" si="6"/>
        <v>2420131</v>
      </c>
      <c r="AL50">
        <v>20</v>
      </c>
      <c r="AM50" s="171">
        <f t="shared" si="7"/>
        <v>48402620</v>
      </c>
      <c r="AN50" s="171">
        <f t="shared" si="8"/>
        <v>80671033.333333343</v>
      </c>
      <c r="AX50" s="168">
        <v>3</v>
      </c>
    </row>
    <row r="51" spans="1:50">
      <c r="A51" s="95" t="str">
        <f t="shared" si="9"/>
        <v>\cite{Lenzen2004}</v>
      </c>
      <c r="B51" s="107" t="s">
        <v>428</v>
      </c>
      <c r="C51" s="107">
        <v>2004</v>
      </c>
      <c r="E51" s="11">
        <f t="shared" si="2"/>
        <v>2004</v>
      </c>
      <c r="F51" s="185">
        <f>LOOKUP(E51,Total_wind_installed_capacity!$A$3:$A$28,Total_wind_installed_capacity!$H$3:$H$28)</f>
        <v>46.3964675</v>
      </c>
      <c r="J51" s="170">
        <v>600</v>
      </c>
      <c r="K51">
        <v>1</v>
      </c>
      <c r="L51" s="188">
        <f t="shared" si="3"/>
        <v>600</v>
      </c>
      <c r="N51" t="s">
        <v>348</v>
      </c>
      <c r="AE51" s="170">
        <f t="shared" si="4"/>
        <v>175712.32</v>
      </c>
      <c r="AG51" s="168">
        <f t="shared" si="5"/>
        <v>0.29285386666666668</v>
      </c>
      <c r="AI51" s="164">
        <v>0.41788508371385086</v>
      </c>
      <c r="AJ51" s="171">
        <f t="shared" si="6"/>
        <v>2196404</v>
      </c>
      <c r="AL51">
        <v>20</v>
      </c>
      <c r="AM51" s="171">
        <f t="shared" si="7"/>
        <v>43928080</v>
      </c>
      <c r="AN51" s="171">
        <f t="shared" si="8"/>
        <v>73213466.666666657</v>
      </c>
      <c r="AX51" s="168">
        <v>4</v>
      </c>
    </row>
    <row r="52" spans="1:50">
      <c r="A52" s="95" t="str">
        <f t="shared" si="9"/>
        <v>\cite{Lenzen2004}</v>
      </c>
      <c r="B52" s="107" t="s">
        <v>428</v>
      </c>
      <c r="C52" s="107">
        <v>2004</v>
      </c>
      <c r="E52" s="11">
        <f t="shared" si="2"/>
        <v>2004</v>
      </c>
      <c r="F52" s="185">
        <f>LOOKUP(E52,Total_wind_installed_capacity!$A$3:$A$28,Total_wind_installed_capacity!$H$3:$H$28)</f>
        <v>46.3964675</v>
      </c>
      <c r="J52" s="170">
        <v>600</v>
      </c>
      <c r="K52">
        <v>1</v>
      </c>
      <c r="L52" s="188">
        <f t="shared" si="3"/>
        <v>600</v>
      </c>
      <c r="N52" t="s">
        <v>348</v>
      </c>
      <c r="AE52" s="170">
        <f t="shared" si="4"/>
        <v>193610.48</v>
      </c>
      <c r="AG52" s="168">
        <f t="shared" si="5"/>
        <v>0.32268413333333335</v>
      </c>
      <c r="AI52" s="164">
        <v>0.46045110350076102</v>
      </c>
      <c r="AJ52" s="171">
        <f t="shared" si="6"/>
        <v>2420131</v>
      </c>
      <c r="AL52">
        <v>20</v>
      </c>
      <c r="AM52" s="171">
        <f t="shared" si="7"/>
        <v>48402620</v>
      </c>
      <c r="AN52" s="171">
        <f t="shared" si="8"/>
        <v>80671033.333333343</v>
      </c>
      <c r="AX52" s="168">
        <v>4</v>
      </c>
    </row>
    <row r="53" spans="1:50">
      <c r="A53" s="95" t="str">
        <f t="shared" si="9"/>
        <v>\cite{Lenzen2004}</v>
      </c>
      <c r="B53" s="107" t="s">
        <v>428</v>
      </c>
      <c r="C53" s="107">
        <v>2004</v>
      </c>
      <c r="E53" s="11">
        <f t="shared" si="2"/>
        <v>2004</v>
      </c>
      <c r="F53" s="185">
        <f>LOOKUP(E53,Total_wind_installed_capacity!$A$3:$A$28,Total_wind_installed_capacity!$H$3:$H$28)</f>
        <v>46.3964675</v>
      </c>
      <c r="J53" s="170">
        <v>600</v>
      </c>
      <c r="K53">
        <v>1</v>
      </c>
      <c r="L53" s="188">
        <f t="shared" si="3"/>
        <v>600</v>
      </c>
      <c r="N53" t="s">
        <v>348</v>
      </c>
      <c r="AE53" s="170">
        <f t="shared" si="4"/>
        <v>569428.16</v>
      </c>
      <c r="AG53" s="168">
        <f t="shared" si="5"/>
        <v>0.94904693333333345</v>
      </c>
      <c r="AI53" s="164">
        <v>0.67711681887366815</v>
      </c>
      <c r="AJ53" s="171">
        <f t="shared" si="6"/>
        <v>3558926</v>
      </c>
      <c r="AL53">
        <v>20</v>
      </c>
      <c r="AM53" s="171">
        <f t="shared" si="7"/>
        <v>71178520</v>
      </c>
      <c r="AN53" s="171">
        <f t="shared" si="8"/>
        <v>118630866.66666667</v>
      </c>
      <c r="AX53" s="168">
        <v>8</v>
      </c>
    </row>
    <row r="54" spans="1:50">
      <c r="A54" s="95" t="str">
        <f t="shared" si="9"/>
        <v>\cite{Lenzen2004}</v>
      </c>
      <c r="B54" s="107" t="s">
        <v>428</v>
      </c>
      <c r="C54" s="107">
        <v>2004</v>
      </c>
      <c r="E54" s="11">
        <f t="shared" si="2"/>
        <v>2004</v>
      </c>
      <c r="F54" s="185">
        <f>LOOKUP(E54,Total_wind_installed_capacity!$A$3:$A$28,Total_wind_installed_capacity!$H$3:$H$28)</f>
        <v>46.3964675</v>
      </c>
      <c r="J54" s="170">
        <v>600</v>
      </c>
      <c r="K54">
        <v>1</v>
      </c>
      <c r="L54" s="188">
        <f t="shared" si="3"/>
        <v>600</v>
      </c>
      <c r="N54" t="s">
        <v>348</v>
      </c>
      <c r="AE54" s="170">
        <f t="shared" si="4"/>
        <v>599786.56000000006</v>
      </c>
      <c r="AG54" s="168">
        <f t="shared" si="5"/>
        <v>0.99964426666666684</v>
      </c>
      <c r="AI54" s="164">
        <v>0.71321651445966516</v>
      </c>
      <c r="AJ54" s="171">
        <f t="shared" si="6"/>
        <v>3748666</v>
      </c>
      <c r="AL54">
        <v>20</v>
      </c>
      <c r="AM54" s="171">
        <f t="shared" si="7"/>
        <v>74973320</v>
      </c>
      <c r="AN54" s="171">
        <f t="shared" si="8"/>
        <v>124955533.33333334</v>
      </c>
      <c r="AX54" s="168">
        <v>8</v>
      </c>
    </row>
    <row r="55" spans="1:50">
      <c r="A55" s="95" t="str">
        <f t="shared" si="9"/>
        <v>\cite{Lenzen2004}</v>
      </c>
      <c r="B55" s="107" t="s">
        <v>428</v>
      </c>
      <c r="C55" s="107">
        <v>2004</v>
      </c>
      <c r="E55" s="11">
        <f t="shared" si="2"/>
        <v>2004</v>
      </c>
      <c r="F55" s="185">
        <f>LOOKUP(E55,Total_wind_installed_capacity!$A$3:$A$28,Total_wind_installed_capacity!$H$3:$H$28)</f>
        <v>46.3964675</v>
      </c>
      <c r="J55" s="170">
        <v>600</v>
      </c>
      <c r="K55">
        <v>1</v>
      </c>
      <c r="L55" s="188">
        <f t="shared" si="3"/>
        <v>600</v>
      </c>
      <c r="N55" t="s">
        <v>348</v>
      </c>
      <c r="AE55" s="170">
        <f t="shared" si="4"/>
        <v>582081.79999999993</v>
      </c>
      <c r="AG55" s="168">
        <f t="shared" si="5"/>
        <v>0.97013633333333327</v>
      </c>
      <c r="AI55" s="164">
        <v>0.55373078386605779</v>
      </c>
      <c r="AJ55" s="171">
        <f t="shared" si="6"/>
        <v>2910408.9999999995</v>
      </c>
      <c r="AL55">
        <v>20</v>
      </c>
      <c r="AM55" s="171">
        <f t="shared" si="7"/>
        <v>58208179.999999993</v>
      </c>
      <c r="AN55" s="171">
        <f t="shared" si="8"/>
        <v>97013633.333333313</v>
      </c>
      <c r="AX55" s="168">
        <v>10</v>
      </c>
    </row>
    <row r="56" spans="1:50">
      <c r="A56" s="95" t="str">
        <f t="shared" si="9"/>
        <v>\cite{Lenzen2004}</v>
      </c>
      <c r="B56" s="107" t="s">
        <v>428</v>
      </c>
      <c r="C56" s="107">
        <v>2004</v>
      </c>
      <c r="E56" s="11">
        <f t="shared" si="2"/>
        <v>2004</v>
      </c>
      <c r="F56" s="185">
        <f>LOOKUP(E56,Total_wind_installed_capacity!$A$3:$A$28,Total_wind_installed_capacity!$H$3:$H$28)</f>
        <v>46.3964675</v>
      </c>
      <c r="J56" s="170">
        <v>600</v>
      </c>
      <c r="K56">
        <v>1</v>
      </c>
      <c r="L56" s="188">
        <f t="shared" si="3"/>
        <v>600</v>
      </c>
      <c r="N56" t="s">
        <v>348</v>
      </c>
      <c r="AE56" s="170">
        <f t="shared" si="4"/>
        <v>580831.43999999994</v>
      </c>
      <c r="AG56" s="168">
        <f t="shared" si="5"/>
        <v>0.96805239999999992</v>
      </c>
      <c r="AI56" s="164">
        <v>0.46045110350076102</v>
      </c>
      <c r="AJ56" s="171">
        <f t="shared" si="6"/>
        <v>2420131</v>
      </c>
      <c r="AL56">
        <v>20</v>
      </c>
      <c r="AM56" s="171">
        <f t="shared" si="7"/>
        <v>48402620</v>
      </c>
      <c r="AN56" s="171">
        <f t="shared" si="8"/>
        <v>80671033.333333343</v>
      </c>
      <c r="AX56" s="168">
        <v>12</v>
      </c>
    </row>
    <row r="57" spans="1:50">
      <c r="A57" s="95" t="str">
        <f t="shared" si="9"/>
        <v>\cite{Lenzen2004}</v>
      </c>
      <c r="B57" s="107" t="s">
        <v>428</v>
      </c>
      <c r="C57" s="107">
        <v>2004</v>
      </c>
      <c r="E57" s="11">
        <f t="shared" si="2"/>
        <v>2004</v>
      </c>
      <c r="F57" s="185">
        <f>LOOKUP(E57,Total_wind_installed_capacity!$A$3:$A$28,Total_wind_installed_capacity!$H$3:$H$28)</f>
        <v>46.3964675</v>
      </c>
      <c r="J57" s="170">
        <v>600</v>
      </c>
      <c r="K57">
        <v>1</v>
      </c>
      <c r="L57" s="188">
        <f t="shared" si="3"/>
        <v>600</v>
      </c>
      <c r="N57" t="s">
        <v>348</v>
      </c>
      <c r="AE57" s="170">
        <f t="shared" si="4"/>
        <v>571065.04</v>
      </c>
      <c r="AG57" s="168">
        <f t="shared" si="5"/>
        <v>0.95177506666666667</v>
      </c>
      <c r="AI57" s="164">
        <v>0.41788508371385086</v>
      </c>
      <c r="AJ57" s="171">
        <f t="shared" si="6"/>
        <v>2196404</v>
      </c>
      <c r="AL57">
        <v>20</v>
      </c>
      <c r="AM57" s="171">
        <f t="shared" si="7"/>
        <v>43928080</v>
      </c>
      <c r="AN57" s="171">
        <f t="shared" si="8"/>
        <v>73213466.666666657</v>
      </c>
      <c r="AX57" s="168">
        <v>13</v>
      </c>
    </row>
    <row r="58" spans="1:50">
      <c r="A58" s="95" t="str">
        <f t="shared" si="9"/>
        <v>\cite{Lenzen2004}</v>
      </c>
      <c r="B58" s="107" t="s">
        <v>428</v>
      </c>
      <c r="C58" s="107">
        <v>2004</v>
      </c>
      <c r="E58" s="11">
        <f t="shared" si="2"/>
        <v>2004</v>
      </c>
      <c r="F58" s="185">
        <f>LOOKUP(E58,Total_wind_installed_capacity!$A$3:$A$28,Total_wind_installed_capacity!$H$3:$H$28)</f>
        <v>46.3964675</v>
      </c>
      <c r="J58" s="170">
        <v>600</v>
      </c>
      <c r="K58">
        <v>1</v>
      </c>
      <c r="L58" s="188">
        <f t="shared" si="3"/>
        <v>600</v>
      </c>
      <c r="N58" t="s">
        <v>348</v>
      </c>
      <c r="AE58" s="170">
        <f t="shared" si="4"/>
        <v>1067677.8</v>
      </c>
      <c r="AG58" s="168">
        <f t="shared" si="5"/>
        <v>1.779463</v>
      </c>
      <c r="AI58" s="164">
        <v>0.67711681887366815</v>
      </c>
      <c r="AJ58" s="171">
        <f t="shared" si="6"/>
        <v>3558926</v>
      </c>
      <c r="AL58">
        <v>20</v>
      </c>
      <c r="AM58" s="171">
        <f t="shared" si="7"/>
        <v>71178520</v>
      </c>
      <c r="AN58" s="171">
        <f t="shared" si="8"/>
        <v>118630866.66666667</v>
      </c>
      <c r="AX58" s="168">
        <v>15</v>
      </c>
    </row>
    <row r="59" spans="1:50">
      <c r="A59" s="95" t="str">
        <f t="shared" si="9"/>
        <v>\cite{Lenzen2004}</v>
      </c>
      <c r="B59" s="107" t="s">
        <v>428</v>
      </c>
      <c r="C59" s="107">
        <v>2004</v>
      </c>
      <c r="E59" s="11">
        <f t="shared" si="2"/>
        <v>2004</v>
      </c>
      <c r="F59" s="185">
        <f>LOOKUP(E59,Total_wind_installed_capacity!$A$3:$A$28,Total_wind_installed_capacity!$H$3:$H$28)</f>
        <v>46.3964675</v>
      </c>
      <c r="J59" s="170">
        <v>600</v>
      </c>
      <c r="K59">
        <v>1</v>
      </c>
      <c r="L59" s="188">
        <f t="shared" si="3"/>
        <v>600</v>
      </c>
      <c r="N59" t="s">
        <v>348</v>
      </c>
      <c r="AE59" s="170">
        <f t="shared" si="4"/>
        <v>1199573.1200000001</v>
      </c>
      <c r="AG59" s="168">
        <f t="shared" si="5"/>
        <v>1.9992885333333337</v>
      </c>
      <c r="AI59" s="164">
        <v>0.71321651445966516</v>
      </c>
      <c r="AJ59" s="171">
        <f t="shared" si="6"/>
        <v>3748666</v>
      </c>
      <c r="AL59">
        <v>20</v>
      </c>
      <c r="AM59" s="171">
        <f t="shared" si="7"/>
        <v>74973320</v>
      </c>
      <c r="AN59" s="171">
        <f t="shared" si="8"/>
        <v>124955533.33333334</v>
      </c>
      <c r="AX59" s="168">
        <v>16</v>
      </c>
    </row>
    <row r="60" spans="1:50">
      <c r="A60" s="95" t="str">
        <f t="shared" si="9"/>
        <v>\cite{Lenzen2004}</v>
      </c>
      <c r="B60" s="107" t="s">
        <v>428</v>
      </c>
      <c r="C60" s="107">
        <v>2004</v>
      </c>
      <c r="E60" s="11">
        <f t="shared" si="2"/>
        <v>2004</v>
      </c>
      <c r="F60" s="185">
        <f>LOOKUP(E60,Total_wind_installed_capacity!$A$3:$A$28,Total_wind_installed_capacity!$H$3:$H$28)</f>
        <v>46.3964675</v>
      </c>
      <c r="J60" s="170">
        <v>600</v>
      </c>
      <c r="K60">
        <v>1</v>
      </c>
      <c r="L60" s="188">
        <f t="shared" si="3"/>
        <v>600</v>
      </c>
      <c r="N60" t="s">
        <v>348</v>
      </c>
      <c r="AE60" s="170">
        <f t="shared" si="4"/>
        <v>1164163.5999999999</v>
      </c>
      <c r="AG60" s="168">
        <f t="shared" si="5"/>
        <v>1.9402726666666665</v>
      </c>
      <c r="AI60" s="164">
        <v>0.55373078386605779</v>
      </c>
      <c r="AJ60" s="171">
        <f t="shared" si="6"/>
        <v>2910408.9999999995</v>
      </c>
      <c r="AL60">
        <v>20</v>
      </c>
      <c r="AM60" s="171">
        <f t="shared" si="7"/>
        <v>58208179.999999993</v>
      </c>
      <c r="AN60" s="171">
        <f t="shared" si="8"/>
        <v>97013633.333333313</v>
      </c>
      <c r="AX60" s="168">
        <v>20</v>
      </c>
    </row>
    <row r="61" spans="1:50">
      <c r="A61" s="95" t="str">
        <f t="shared" si="9"/>
        <v>\cite{Lenzen2004}</v>
      </c>
      <c r="B61" s="107" t="s">
        <v>428</v>
      </c>
      <c r="C61" s="107">
        <v>2004</v>
      </c>
      <c r="E61" s="11">
        <f t="shared" si="2"/>
        <v>2004</v>
      </c>
      <c r="F61" s="185">
        <f>LOOKUP(E61,Total_wind_installed_capacity!$A$3:$A$28,Total_wind_installed_capacity!$H$3:$H$28)</f>
        <v>46.3964675</v>
      </c>
      <c r="J61" s="170">
        <v>600</v>
      </c>
      <c r="K61">
        <v>1</v>
      </c>
      <c r="L61" s="188">
        <f t="shared" si="3"/>
        <v>600</v>
      </c>
      <c r="N61" t="s">
        <v>348</v>
      </c>
      <c r="AE61" s="170">
        <f t="shared" si="4"/>
        <v>1258468.1200000001</v>
      </c>
      <c r="AG61" s="168">
        <f t="shared" si="5"/>
        <v>2.0974468666666666</v>
      </c>
      <c r="AI61" s="164">
        <v>0.46045110350076102</v>
      </c>
      <c r="AJ61" s="171">
        <f t="shared" si="6"/>
        <v>2420131</v>
      </c>
      <c r="AL61">
        <v>20</v>
      </c>
      <c r="AM61" s="171">
        <f t="shared" si="7"/>
        <v>48402620</v>
      </c>
      <c r="AN61" s="171">
        <f t="shared" si="8"/>
        <v>80671033.333333343</v>
      </c>
      <c r="AX61" s="168">
        <v>26</v>
      </c>
    </row>
    <row r="62" spans="1:50">
      <c r="A62" s="95" t="str">
        <f t="shared" si="9"/>
        <v>\cite{Lenzen2004}</v>
      </c>
      <c r="B62" s="107" t="s">
        <v>428</v>
      </c>
      <c r="C62" s="107">
        <v>2004</v>
      </c>
      <c r="E62" s="11">
        <f t="shared" si="2"/>
        <v>2004</v>
      </c>
      <c r="F62" s="185">
        <f>LOOKUP(E62,Total_wind_installed_capacity!$A$3:$A$28,Total_wind_installed_capacity!$H$3:$H$28)</f>
        <v>46.3964675</v>
      </c>
      <c r="J62" s="170">
        <v>600</v>
      </c>
      <c r="K62">
        <v>1</v>
      </c>
      <c r="L62" s="188">
        <f t="shared" si="3"/>
        <v>600</v>
      </c>
      <c r="N62" t="s">
        <v>348</v>
      </c>
      <c r="AE62" s="170">
        <f t="shared" si="4"/>
        <v>1186058.1599999999</v>
      </c>
      <c r="AG62" s="168">
        <f t="shared" si="5"/>
        <v>1.9767635999999997</v>
      </c>
      <c r="AI62" s="164">
        <v>0.41788508371385086</v>
      </c>
      <c r="AJ62" s="171">
        <f t="shared" si="6"/>
        <v>2196404</v>
      </c>
      <c r="AL62">
        <v>20</v>
      </c>
      <c r="AM62" s="171">
        <f t="shared" si="7"/>
        <v>43928080</v>
      </c>
      <c r="AN62" s="171">
        <f t="shared" si="8"/>
        <v>73213466.666666657</v>
      </c>
      <c r="AX62" s="168">
        <v>27</v>
      </c>
    </row>
    <row r="63" spans="1:50">
      <c r="A63" s="95" t="str">
        <f t="shared" si="9"/>
        <v>\cite{Lenzen2004}</v>
      </c>
      <c r="B63" s="107" t="s">
        <v>428</v>
      </c>
      <c r="C63" s="107">
        <v>2004</v>
      </c>
      <c r="E63" s="11">
        <f t="shared" si="2"/>
        <v>2004</v>
      </c>
      <c r="F63" s="185">
        <f>LOOKUP(E63,Total_wind_installed_capacity!$A$3:$A$28,Total_wind_installed_capacity!$H$3:$H$28)</f>
        <v>46.3964675</v>
      </c>
      <c r="J63" s="170">
        <v>600</v>
      </c>
      <c r="K63">
        <v>1</v>
      </c>
      <c r="L63" s="188">
        <f t="shared" si="3"/>
        <v>600</v>
      </c>
      <c r="N63" t="s">
        <v>348</v>
      </c>
      <c r="AE63" s="170">
        <f t="shared" si="4"/>
        <v>1167286.5</v>
      </c>
      <c r="AG63" s="168">
        <f t="shared" si="5"/>
        <v>1.9454775</v>
      </c>
      <c r="AI63" s="164">
        <v>0.24676274733637749</v>
      </c>
      <c r="AJ63" s="171">
        <f t="shared" si="6"/>
        <v>1296985</v>
      </c>
      <c r="AL63">
        <v>20</v>
      </c>
      <c r="AM63" s="171">
        <f t="shared" si="7"/>
        <v>25939700</v>
      </c>
      <c r="AN63" s="171">
        <f t="shared" si="8"/>
        <v>43232833.333333336</v>
      </c>
      <c r="AX63" s="168">
        <v>45</v>
      </c>
    </row>
    <row r="64" spans="1:50">
      <c r="A64" s="95" t="str">
        <f t="shared" si="9"/>
        <v>\cite{Lenzen2004}</v>
      </c>
      <c r="B64" s="107" t="s">
        <v>428</v>
      </c>
      <c r="C64" s="107">
        <v>2004</v>
      </c>
      <c r="E64" s="11">
        <f t="shared" si="2"/>
        <v>2004</v>
      </c>
      <c r="F64" s="185">
        <f>LOOKUP(E64,Total_wind_installed_capacity!$A$3:$A$28,Total_wind_installed_capacity!$H$3:$H$28)</f>
        <v>46.3964675</v>
      </c>
      <c r="J64" s="170">
        <v>600</v>
      </c>
      <c r="K64">
        <v>1</v>
      </c>
      <c r="L64" s="188">
        <f t="shared" si="3"/>
        <v>600</v>
      </c>
      <c r="N64" t="s">
        <v>348</v>
      </c>
      <c r="AE64" s="170">
        <f t="shared" si="4"/>
        <v>1311486.7200000002</v>
      </c>
      <c r="AG64" s="168">
        <f t="shared" si="5"/>
        <v>2.1858112000000007</v>
      </c>
      <c r="AI64" s="164">
        <v>0.25991856925418572</v>
      </c>
      <c r="AJ64" s="171">
        <f t="shared" si="6"/>
        <v>1366132.0000000002</v>
      </c>
      <c r="AL64">
        <v>20</v>
      </c>
      <c r="AM64" s="171">
        <f t="shared" si="7"/>
        <v>27322640.000000004</v>
      </c>
      <c r="AN64" s="171">
        <f t="shared" si="8"/>
        <v>45537733.333333336</v>
      </c>
      <c r="AX64" s="168">
        <v>48</v>
      </c>
    </row>
    <row r="65" spans="1:50">
      <c r="A65" s="95" t="str">
        <f t="shared" si="9"/>
        <v>\cite{Lenzen2004}</v>
      </c>
      <c r="B65" s="107" t="s">
        <v>428</v>
      </c>
      <c r="C65" s="107">
        <v>2004</v>
      </c>
      <c r="E65" s="11">
        <f t="shared" si="2"/>
        <v>2004</v>
      </c>
      <c r="F65" s="185">
        <f>LOOKUP(E65,Total_wind_installed_capacity!$A$3:$A$28,Total_wind_installed_capacity!$H$3:$H$28)</f>
        <v>46.3964675</v>
      </c>
      <c r="J65" s="170">
        <v>600</v>
      </c>
      <c r="K65">
        <v>1</v>
      </c>
      <c r="L65" s="188">
        <f t="shared" si="3"/>
        <v>600</v>
      </c>
      <c r="N65" t="s">
        <v>348</v>
      </c>
      <c r="AE65" s="170">
        <f t="shared" si="4"/>
        <v>1293986.8999999999</v>
      </c>
      <c r="AG65" s="168">
        <f t="shared" si="5"/>
        <v>2.1566448333333335</v>
      </c>
      <c r="AI65" s="164">
        <v>0.20179699391171993</v>
      </c>
      <c r="AJ65" s="171">
        <f t="shared" si="6"/>
        <v>1060645</v>
      </c>
      <c r="AL65">
        <v>20</v>
      </c>
      <c r="AM65" s="171">
        <f t="shared" si="7"/>
        <v>21212900</v>
      </c>
      <c r="AN65" s="171">
        <f t="shared" si="8"/>
        <v>35354833.333333336</v>
      </c>
      <c r="AX65" s="168">
        <v>61</v>
      </c>
    </row>
    <row r="66" spans="1:50">
      <c r="A66" s="95" t="str">
        <f t="shared" ref="A66:A97" si="10">CONCATENATE("\cite{",B66,C66,"}")</f>
        <v>\cite{Lenzen2004}</v>
      </c>
      <c r="B66" s="156" t="s">
        <v>428</v>
      </c>
      <c r="C66" s="156">
        <v>2004</v>
      </c>
      <c r="D66" s="157"/>
      <c r="E66" s="11">
        <f t="shared" si="2"/>
        <v>2004</v>
      </c>
      <c r="F66" s="185">
        <f>LOOKUP(E66,Total_wind_installed_capacity!$A$3:$A$28,Total_wind_installed_capacity!$H$3:$H$28)</f>
        <v>46.3964675</v>
      </c>
      <c r="J66" s="170">
        <v>600</v>
      </c>
      <c r="K66">
        <v>1</v>
      </c>
      <c r="L66" s="188">
        <f t="shared" si="3"/>
        <v>600</v>
      </c>
      <c r="N66" t="s">
        <v>348</v>
      </c>
      <c r="AE66" s="170">
        <f t="shared" si="4"/>
        <v>1358236.88</v>
      </c>
      <c r="AG66" s="168">
        <f t="shared" si="5"/>
        <v>2.2637281333333332</v>
      </c>
      <c r="AI66" s="164">
        <v>0.16780289193302891</v>
      </c>
      <c r="AJ66" s="171">
        <f t="shared" si="6"/>
        <v>881972</v>
      </c>
      <c r="AL66">
        <v>20</v>
      </c>
      <c r="AM66" s="171">
        <f t="shared" si="7"/>
        <v>17639440</v>
      </c>
      <c r="AN66" s="171">
        <f t="shared" si="8"/>
        <v>29399066.666666664</v>
      </c>
      <c r="AX66" s="168">
        <v>77</v>
      </c>
    </row>
    <row r="67" spans="1:50">
      <c r="A67" s="95" t="str">
        <f t="shared" si="10"/>
        <v>\cite{Lenzen2004}</v>
      </c>
      <c r="B67" s="156" t="s">
        <v>428</v>
      </c>
      <c r="C67" s="156">
        <v>2004</v>
      </c>
      <c r="D67" s="157"/>
      <c r="E67" s="11">
        <f t="shared" ref="E67:E126" si="11">IF(D67&gt;0,D67,C67)</f>
        <v>2004</v>
      </c>
      <c r="F67" s="185">
        <f>LOOKUP(E67,Total_wind_installed_capacity!$A$3:$A$28,Total_wind_installed_capacity!$H$3:$H$28)</f>
        <v>46.3964675</v>
      </c>
      <c r="J67" s="170">
        <v>600</v>
      </c>
      <c r="K67">
        <v>1</v>
      </c>
      <c r="L67" s="188">
        <f t="shared" ref="L67:L126" si="12">J67*K67</f>
        <v>600</v>
      </c>
      <c r="N67" t="s">
        <v>348</v>
      </c>
      <c r="AE67" s="170">
        <f t="shared" ref="AE67:AE126" si="13">AX67*AM67/1000</f>
        <v>1296711.18</v>
      </c>
      <c r="AG67" s="168">
        <f t="shared" ref="AG67:AG126" si="14">AE67/J67/1000</f>
        <v>2.1611853000000001</v>
      </c>
      <c r="AI67" s="164">
        <v>0.15229052511415525</v>
      </c>
      <c r="AJ67" s="171">
        <f t="shared" ref="AJ67:AJ126" si="15">J67*8760*AI67</f>
        <v>800439</v>
      </c>
      <c r="AL67">
        <v>20</v>
      </c>
      <c r="AM67" s="171">
        <f t="shared" ref="AM67:AM126" si="16">AJ67*AL67</f>
        <v>16008780</v>
      </c>
      <c r="AN67" s="171">
        <f t="shared" ref="AN67:AN126" si="17">AM67/L67*1000</f>
        <v>26681300</v>
      </c>
      <c r="AX67" s="168">
        <v>81</v>
      </c>
    </row>
    <row r="68" spans="1:50">
      <c r="A68" s="95" t="str">
        <f t="shared" si="10"/>
        <v>\cite{Liberman c2003}</v>
      </c>
      <c r="B68" s="156" t="s">
        <v>450</v>
      </c>
      <c r="C68" s="156">
        <v>2003</v>
      </c>
      <c r="D68" s="157"/>
      <c r="E68" s="11">
        <f t="shared" si="11"/>
        <v>2003</v>
      </c>
      <c r="F68" s="185">
        <f>LOOKUP(E68,Total_wind_installed_capacity!$A$3:$A$28,Total_wind_installed_capacity!$H$3:$H$28)</f>
        <v>38.113542499999994</v>
      </c>
      <c r="J68" s="170">
        <v>1025</v>
      </c>
      <c r="K68">
        <v>1</v>
      </c>
      <c r="L68" s="188">
        <f t="shared" si="12"/>
        <v>1025</v>
      </c>
      <c r="N68" t="s">
        <v>348</v>
      </c>
      <c r="AE68" s="170" t="e">
        <f t="shared" si="13"/>
        <v>#VALUE!</v>
      </c>
      <c r="AG68" s="168" t="e">
        <f t="shared" si="14"/>
        <v>#VALUE!</v>
      </c>
      <c r="AI68" s="164" t="s">
        <v>455</v>
      </c>
      <c r="AJ68" s="171" t="e">
        <f t="shared" si="15"/>
        <v>#VALUE!</v>
      </c>
      <c r="AM68" s="171" t="e">
        <f t="shared" si="16"/>
        <v>#VALUE!</v>
      </c>
      <c r="AN68" s="171" t="e">
        <f t="shared" si="17"/>
        <v>#VALUE!</v>
      </c>
      <c r="AX68" s="168">
        <v>13</v>
      </c>
    </row>
    <row r="69" spans="1:50">
      <c r="A69" s="95" t="str">
        <f t="shared" si="10"/>
        <v>\cite{Martínez2009}</v>
      </c>
      <c r="B69" s="156" t="s">
        <v>429</v>
      </c>
      <c r="C69" s="156">
        <v>2009</v>
      </c>
      <c r="D69" s="157"/>
      <c r="E69" s="11">
        <f t="shared" si="11"/>
        <v>2009</v>
      </c>
      <c r="F69" s="185">
        <f>LOOKUP(E69,Total_wind_installed_capacity!$A$3:$A$28,Total_wind_installed_capacity!$H$3:$H$28)</f>
        <v>151.3704745</v>
      </c>
      <c r="J69" s="170">
        <v>2000</v>
      </c>
      <c r="K69">
        <v>1</v>
      </c>
      <c r="L69" s="188">
        <f t="shared" si="12"/>
        <v>2000</v>
      </c>
      <c r="N69" t="s">
        <v>348</v>
      </c>
      <c r="AE69" s="170">
        <f t="shared" si="13"/>
        <v>496000</v>
      </c>
      <c r="AG69" s="168">
        <f t="shared" si="14"/>
        <v>0.248</v>
      </c>
      <c r="AI69" s="164">
        <v>0.22831050228310501</v>
      </c>
      <c r="AJ69" s="171">
        <f t="shared" si="15"/>
        <v>4000000</v>
      </c>
      <c r="AL69">
        <v>20</v>
      </c>
      <c r="AM69" s="171">
        <f t="shared" si="16"/>
        <v>80000000</v>
      </c>
      <c r="AN69" s="171">
        <f t="shared" si="17"/>
        <v>40000000</v>
      </c>
      <c r="AX69" s="168">
        <v>6.2</v>
      </c>
    </row>
    <row r="70" spans="1:50">
      <c r="A70" s="95" t="str">
        <f t="shared" si="10"/>
        <v>\cite{Martínez2009}</v>
      </c>
      <c r="B70" s="156" t="s">
        <v>429</v>
      </c>
      <c r="C70" s="156">
        <v>2009</v>
      </c>
      <c r="D70" s="157"/>
      <c r="E70" s="11">
        <f t="shared" si="11"/>
        <v>2009</v>
      </c>
      <c r="F70" s="185">
        <f>LOOKUP(E70,Total_wind_installed_capacity!$A$3:$A$28,Total_wind_installed_capacity!$H$3:$H$28)</f>
        <v>151.3704745</v>
      </c>
      <c r="J70" s="170">
        <v>2000</v>
      </c>
      <c r="K70">
        <v>1</v>
      </c>
      <c r="L70" s="188">
        <f t="shared" si="12"/>
        <v>2000</v>
      </c>
      <c r="N70" t="s">
        <v>348</v>
      </c>
      <c r="AE70" s="170">
        <f t="shared" si="13"/>
        <v>526400</v>
      </c>
      <c r="AG70" s="168">
        <f t="shared" si="14"/>
        <v>0.26319999999999999</v>
      </c>
      <c r="AI70" s="164">
        <v>0.22831050228310501</v>
      </c>
      <c r="AJ70" s="171">
        <f t="shared" si="15"/>
        <v>4000000</v>
      </c>
      <c r="AL70">
        <v>20</v>
      </c>
      <c r="AM70" s="171">
        <f t="shared" si="16"/>
        <v>80000000</v>
      </c>
      <c r="AN70" s="171">
        <f t="shared" si="17"/>
        <v>40000000</v>
      </c>
      <c r="AX70" s="168">
        <v>6.58</v>
      </c>
    </row>
    <row r="71" spans="1:50">
      <c r="A71" s="95" t="str">
        <f t="shared" si="10"/>
        <v>\cite{Martínez2009}</v>
      </c>
      <c r="B71" s="156" t="s">
        <v>429</v>
      </c>
      <c r="C71" s="156">
        <v>2009</v>
      </c>
      <c r="D71" s="157"/>
      <c r="E71" s="11">
        <f t="shared" si="11"/>
        <v>2009</v>
      </c>
      <c r="F71" s="185">
        <f>LOOKUP(E71,Total_wind_installed_capacity!$A$3:$A$28,Total_wind_installed_capacity!$H$3:$H$28)</f>
        <v>151.3704745</v>
      </c>
      <c r="J71" s="170">
        <v>2000</v>
      </c>
      <c r="K71">
        <v>1</v>
      </c>
      <c r="L71" s="188">
        <f t="shared" si="12"/>
        <v>2000</v>
      </c>
      <c r="N71" t="s">
        <v>348</v>
      </c>
      <c r="AE71" s="170">
        <f t="shared" si="13"/>
        <v>743199.99999999988</v>
      </c>
      <c r="AG71" s="168">
        <f t="shared" si="14"/>
        <v>0.37159999999999999</v>
      </c>
      <c r="AI71" s="164">
        <v>0.22831050228310501</v>
      </c>
      <c r="AJ71" s="171">
        <f t="shared" si="15"/>
        <v>4000000</v>
      </c>
      <c r="AL71">
        <v>20</v>
      </c>
      <c r="AM71" s="171">
        <f t="shared" si="16"/>
        <v>80000000</v>
      </c>
      <c r="AN71" s="171">
        <f t="shared" si="17"/>
        <v>40000000</v>
      </c>
      <c r="AX71" s="168">
        <v>9.2899999999999991</v>
      </c>
    </row>
    <row r="72" spans="1:50">
      <c r="A72" s="95" t="str">
        <f t="shared" si="10"/>
        <v>\cite{McCulloch2000}</v>
      </c>
      <c r="B72" s="156" t="s">
        <v>430</v>
      </c>
      <c r="C72" s="156">
        <v>2000</v>
      </c>
      <c r="D72" s="157"/>
      <c r="E72" s="11">
        <f t="shared" si="11"/>
        <v>2000</v>
      </c>
      <c r="F72" s="185">
        <f>LOOKUP(E72,Total_wind_installed_capacity!$A$3:$A$28,Total_wind_installed_capacity!$H$3:$H$28)</f>
        <v>16.347073333333334</v>
      </c>
      <c r="J72" s="170">
        <v>600</v>
      </c>
      <c r="K72">
        <v>1</v>
      </c>
      <c r="L72" s="188">
        <f t="shared" si="12"/>
        <v>600</v>
      </c>
      <c r="N72" t="s">
        <v>348</v>
      </c>
      <c r="AE72" s="170">
        <f t="shared" si="13"/>
        <v>341640</v>
      </c>
      <c r="AG72" s="168">
        <f t="shared" si="14"/>
        <v>0.56940000000000002</v>
      </c>
      <c r="AI72" s="164">
        <v>0.2</v>
      </c>
      <c r="AJ72" s="171">
        <f t="shared" si="15"/>
        <v>1051200</v>
      </c>
      <c r="AL72">
        <v>25</v>
      </c>
      <c r="AM72" s="171">
        <f t="shared" si="16"/>
        <v>26280000</v>
      </c>
      <c r="AN72" s="171">
        <f t="shared" si="17"/>
        <v>43800000</v>
      </c>
      <c r="AX72" s="168">
        <v>13</v>
      </c>
    </row>
    <row r="73" spans="1:50">
      <c r="A73" s="95" t="str">
        <f t="shared" si="10"/>
        <v>\cite{Nadal1995}</v>
      </c>
      <c r="B73" s="166" t="s">
        <v>432</v>
      </c>
      <c r="C73" s="156">
        <v>1995</v>
      </c>
      <c r="D73" s="157"/>
      <c r="E73" s="11">
        <f t="shared" si="11"/>
        <v>1995</v>
      </c>
      <c r="F73" s="185">
        <f>LOOKUP(E73,Total_wind_installed_capacity!$A$3:$A$28,Total_wind_installed_capacity!$H$3:$H$28)</f>
        <v>4.2103549999999998</v>
      </c>
      <c r="J73" s="170">
        <v>225</v>
      </c>
      <c r="K73">
        <v>1</v>
      </c>
      <c r="L73" s="188">
        <f t="shared" si="12"/>
        <v>225</v>
      </c>
      <c r="N73" t="s">
        <v>348</v>
      </c>
      <c r="AE73" s="170">
        <f t="shared" si="13"/>
        <v>157680</v>
      </c>
      <c r="AG73" s="168">
        <f t="shared" si="14"/>
        <v>0.70079999999999998</v>
      </c>
      <c r="AI73" s="164">
        <v>0.2</v>
      </c>
      <c r="AJ73" s="171">
        <f t="shared" si="15"/>
        <v>394200</v>
      </c>
      <c r="AL73">
        <v>20</v>
      </c>
      <c r="AM73" s="171">
        <f t="shared" si="16"/>
        <v>7884000</v>
      </c>
      <c r="AN73" s="171">
        <f t="shared" si="17"/>
        <v>35040000</v>
      </c>
      <c r="AX73" s="168">
        <v>20</v>
      </c>
    </row>
    <row r="74" spans="1:50">
      <c r="A74" s="95" t="str">
        <f t="shared" si="10"/>
        <v>\cite{Pacca2002}</v>
      </c>
      <c r="B74" s="166" t="s">
        <v>433</v>
      </c>
      <c r="C74" s="156">
        <v>2002</v>
      </c>
      <c r="D74" s="157"/>
      <c r="E74" s="11">
        <f t="shared" si="11"/>
        <v>2002</v>
      </c>
      <c r="F74" s="185">
        <f>LOOKUP(E74,Total_wind_installed_capacity!$A$3:$A$28,Total_wind_installed_capacity!$H$3:$H$28)</f>
        <v>30.260529999999999</v>
      </c>
      <c r="J74" s="170">
        <v>600</v>
      </c>
      <c r="K74">
        <v>1</v>
      </c>
      <c r="L74" s="188">
        <f t="shared" si="12"/>
        <v>600</v>
      </c>
      <c r="N74" t="s">
        <v>348</v>
      </c>
      <c r="AE74" s="170">
        <f t="shared" si="13"/>
        <v>178571.42857142858</v>
      </c>
      <c r="AG74" s="168">
        <f t="shared" si="14"/>
        <v>0.29761904761904767</v>
      </c>
      <c r="AI74" s="164">
        <v>0.23570001630789303</v>
      </c>
      <c r="AJ74" s="171">
        <f t="shared" si="15"/>
        <v>1238839.2857142857</v>
      </c>
      <c r="AL74">
        <v>20</v>
      </c>
      <c r="AM74" s="171">
        <f t="shared" si="16"/>
        <v>24776785.714285713</v>
      </c>
      <c r="AN74" s="171">
        <f t="shared" si="17"/>
        <v>41294642.857142858</v>
      </c>
      <c r="AX74" s="168">
        <v>7.2072072072072073</v>
      </c>
    </row>
    <row r="75" spans="1:50">
      <c r="A75" s="95" t="str">
        <f t="shared" si="10"/>
        <v>\cite{Pacca2003}</v>
      </c>
      <c r="B75" s="166" t="s">
        <v>433</v>
      </c>
      <c r="C75" s="156">
        <v>2003</v>
      </c>
      <c r="D75" s="157"/>
      <c r="E75" s="11">
        <f t="shared" si="11"/>
        <v>2003</v>
      </c>
      <c r="F75" s="185">
        <f>LOOKUP(E75,Total_wind_installed_capacity!$A$3:$A$28,Total_wind_installed_capacity!$H$3:$H$28)</f>
        <v>38.113542499999994</v>
      </c>
      <c r="J75" s="170">
        <v>600</v>
      </c>
      <c r="K75">
        <v>1</v>
      </c>
      <c r="L75" s="188">
        <f t="shared" si="12"/>
        <v>600</v>
      </c>
      <c r="N75" t="s">
        <v>348</v>
      </c>
      <c r="AE75" s="170">
        <f t="shared" si="13"/>
        <v>297321.42857142852</v>
      </c>
      <c r="AG75" s="168">
        <f t="shared" si="14"/>
        <v>0.49553571428571425</v>
      </c>
      <c r="AI75" s="164">
        <v>0.23570001630789303</v>
      </c>
      <c r="AJ75" s="171">
        <f t="shared" si="15"/>
        <v>1238839.2857142857</v>
      </c>
      <c r="AL75">
        <v>40</v>
      </c>
      <c r="AM75" s="171">
        <f t="shared" si="16"/>
        <v>49553571.428571425</v>
      </c>
      <c r="AN75" s="171">
        <f t="shared" si="17"/>
        <v>82589285.714285716</v>
      </c>
      <c r="AX75" s="168">
        <v>6</v>
      </c>
    </row>
    <row r="76" spans="1:50">
      <c r="A76" s="95" t="str">
        <f t="shared" si="10"/>
        <v>\cite{Pacca2003}</v>
      </c>
      <c r="B76" s="166" t="s">
        <v>433</v>
      </c>
      <c r="C76" s="156">
        <v>2003</v>
      </c>
      <c r="D76" s="157"/>
      <c r="E76" s="11">
        <f t="shared" si="11"/>
        <v>2003</v>
      </c>
      <c r="F76" s="185">
        <f>LOOKUP(E76,Total_wind_installed_capacity!$A$3:$A$28,Total_wind_installed_capacity!$H$3:$H$28)</f>
        <v>38.113542499999994</v>
      </c>
      <c r="J76" s="170">
        <v>600</v>
      </c>
      <c r="K76">
        <v>1</v>
      </c>
      <c r="L76" s="188">
        <f t="shared" si="12"/>
        <v>600</v>
      </c>
      <c r="N76" t="s">
        <v>348</v>
      </c>
      <c r="AE76" s="170">
        <f t="shared" si="13"/>
        <v>297321.42857142852</v>
      </c>
      <c r="AG76" s="168">
        <f t="shared" si="14"/>
        <v>0.49553571428571425</v>
      </c>
      <c r="AI76" s="164">
        <v>0.23570001630789303</v>
      </c>
      <c r="AJ76" s="171">
        <f t="shared" si="15"/>
        <v>1238839.2857142857</v>
      </c>
      <c r="AL76">
        <v>30</v>
      </c>
      <c r="AM76" s="171">
        <f t="shared" si="16"/>
        <v>37165178.571428567</v>
      </c>
      <c r="AN76" s="171">
        <f t="shared" si="17"/>
        <v>61941964.285714276</v>
      </c>
      <c r="AX76" s="168">
        <v>8</v>
      </c>
    </row>
    <row r="77" spans="1:50">
      <c r="A77" s="95" t="str">
        <f t="shared" si="10"/>
        <v>\cite{Pacca2003}</v>
      </c>
      <c r="B77" s="167" t="s">
        <v>433</v>
      </c>
      <c r="C77" s="156">
        <v>2003</v>
      </c>
      <c r="D77" s="157"/>
      <c r="E77" s="11">
        <f t="shared" si="11"/>
        <v>2003</v>
      </c>
      <c r="F77" s="185">
        <f>LOOKUP(E77,Total_wind_installed_capacity!$A$3:$A$28,Total_wind_installed_capacity!$H$3:$H$28)</f>
        <v>38.113542499999994</v>
      </c>
      <c r="J77" s="170">
        <v>600</v>
      </c>
      <c r="K77">
        <v>1</v>
      </c>
      <c r="L77" s="188">
        <f t="shared" si="12"/>
        <v>600</v>
      </c>
      <c r="N77" t="s">
        <v>348</v>
      </c>
      <c r="AE77" s="170">
        <f t="shared" si="13"/>
        <v>371651.78571428568</v>
      </c>
      <c r="AG77" s="168">
        <f t="shared" si="14"/>
        <v>0.61941964285714279</v>
      </c>
      <c r="AI77" s="164">
        <v>0.23570001630789303</v>
      </c>
      <c r="AJ77" s="171">
        <f t="shared" si="15"/>
        <v>1238839.2857142857</v>
      </c>
      <c r="AL77">
        <v>20</v>
      </c>
      <c r="AM77" s="171">
        <f t="shared" si="16"/>
        <v>24776785.714285713</v>
      </c>
      <c r="AN77" s="171">
        <f t="shared" si="17"/>
        <v>41294642.857142858</v>
      </c>
      <c r="AX77" s="168">
        <v>15</v>
      </c>
    </row>
    <row r="78" spans="1:50">
      <c r="A78" s="95" t="str">
        <f t="shared" si="10"/>
        <v>\cite{Pacca2003}</v>
      </c>
      <c r="B78" s="167" t="s">
        <v>433</v>
      </c>
      <c r="C78" s="156">
        <v>2003</v>
      </c>
      <c r="D78" s="157"/>
      <c r="E78" s="11">
        <f t="shared" si="11"/>
        <v>2003</v>
      </c>
      <c r="F78" s="185">
        <f>LOOKUP(E78,Total_wind_installed_capacity!$A$3:$A$28,Total_wind_installed_capacity!$H$3:$H$28)</f>
        <v>38.113542499999994</v>
      </c>
      <c r="J78" s="170">
        <v>600</v>
      </c>
      <c r="K78">
        <v>1</v>
      </c>
      <c r="L78" s="188">
        <f t="shared" si="12"/>
        <v>600</v>
      </c>
      <c r="N78" t="s">
        <v>348</v>
      </c>
      <c r="AE78" s="170">
        <f t="shared" si="13"/>
        <v>210602.67857142858</v>
      </c>
      <c r="AG78" s="168">
        <f t="shared" si="14"/>
        <v>0.3510044642857143</v>
      </c>
      <c r="AI78" s="164">
        <v>0.23570001630789303</v>
      </c>
      <c r="AJ78" s="171">
        <f t="shared" si="15"/>
        <v>1238839.2857142857</v>
      </c>
      <c r="AL78">
        <v>10</v>
      </c>
      <c r="AM78" s="171">
        <f t="shared" si="16"/>
        <v>12388392.857142856</v>
      </c>
      <c r="AN78" s="171">
        <f t="shared" si="17"/>
        <v>20647321.428571429</v>
      </c>
      <c r="AX78" s="168">
        <v>17</v>
      </c>
    </row>
    <row r="79" spans="1:50">
      <c r="A79" s="95" t="str">
        <f t="shared" si="10"/>
        <v>\cite{Pehnt2006}</v>
      </c>
      <c r="B79" s="167" t="s">
        <v>434</v>
      </c>
      <c r="C79" s="156">
        <v>2006</v>
      </c>
      <c r="D79" s="157"/>
      <c r="E79" s="11">
        <f t="shared" si="11"/>
        <v>2006</v>
      </c>
      <c r="F79" s="185">
        <f>LOOKUP(E79,Total_wind_installed_capacity!$A$3:$A$28,Total_wind_installed_capacity!$H$3:$H$28)</f>
        <v>71.980399999999989</v>
      </c>
      <c r="J79" s="170">
        <v>2500</v>
      </c>
      <c r="K79">
        <v>1</v>
      </c>
      <c r="L79" s="188">
        <f t="shared" si="12"/>
        <v>2500</v>
      </c>
      <c r="N79" t="s">
        <v>359</v>
      </c>
      <c r="AE79" s="170" t="e">
        <f t="shared" si="13"/>
        <v>#VALUE!</v>
      </c>
      <c r="AG79" s="168" t="e">
        <f t="shared" si="14"/>
        <v>#VALUE!</v>
      </c>
      <c r="AI79" s="164" t="s">
        <v>455</v>
      </c>
      <c r="AJ79" s="171" t="e">
        <f t="shared" si="15"/>
        <v>#VALUE!</v>
      </c>
      <c r="AL79" t="s">
        <v>455</v>
      </c>
      <c r="AM79" s="171" t="e">
        <f t="shared" si="16"/>
        <v>#VALUE!</v>
      </c>
      <c r="AN79" s="171" t="e">
        <f t="shared" si="17"/>
        <v>#VALUE!</v>
      </c>
      <c r="AX79" s="168">
        <v>9.1449999999999996</v>
      </c>
    </row>
    <row r="80" spans="1:50">
      <c r="A80" s="95" t="str">
        <f t="shared" si="10"/>
        <v>\cite{Pehnt2006}</v>
      </c>
      <c r="B80" s="167" t="s">
        <v>434</v>
      </c>
      <c r="C80" s="156">
        <v>2006</v>
      </c>
      <c r="D80" s="157"/>
      <c r="E80" s="11">
        <f t="shared" si="11"/>
        <v>2006</v>
      </c>
      <c r="F80" s="185">
        <f>LOOKUP(E80,Total_wind_installed_capacity!$A$3:$A$28,Total_wind_installed_capacity!$H$3:$H$28)</f>
        <v>71.980399999999989</v>
      </c>
      <c r="J80" s="170">
        <v>1500</v>
      </c>
      <c r="K80">
        <v>1</v>
      </c>
      <c r="L80" s="188">
        <f t="shared" si="12"/>
        <v>1500</v>
      </c>
      <c r="N80" t="s">
        <v>348</v>
      </c>
      <c r="AE80" s="170" t="e">
        <f t="shared" si="13"/>
        <v>#VALUE!</v>
      </c>
      <c r="AG80" s="168" t="e">
        <f t="shared" si="14"/>
        <v>#VALUE!</v>
      </c>
      <c r="AI80" s="164" t="s">
        <v>455</v>
      </c>
      <c r="AJ80" s="171" t="e">
        <f t="shared" si="15"/>
        <v>#VALUE!</v>
      </c>
      <c r="AL80" t="s">
        <v>455</v>
      </c>
      <c r="AM80" s="171" t="e">
        <f t="shared" si="16"/>
        <v>#VALUE!</v>
      </c>
      <c r="AN80" s="171" t="e">
        <f t="shared" si="17"/>
        <v>#VALUE!</v>
      </c>
      <c r="AX80" s="168">
        <v>10.862099999999998</v>
      </c>
    </row>
    <row r="81" spans="1:50">
      <c r="A81" s="95" t="str">
        <f t="shared" si="10"/>
        <v>\cite{Pehnt2008}</v>
      </c>
      <c r="B81" s="166" t="s">
        <v>434</v>
      </c>
      <c r="C81" s="156">
        <v>2008</v>
      </c>
      <c r="D81" s="157"/>
      <c r="E81" s="11">
        <f t="shared" si="11"/>
        <v>2008</v>
      </c>
      <c r="F81" s="185">
        <f>LOOKUP(E81,Total_wind_installed_capacity!$A$3:$A$28,Total_wind_installed_capacity!$H$3:$H$28)</f>
        <v>116.9072445</v>
      </c>
      <c r="J81" s="170">
        <v>5000</v>
      </c>
      <c r="K81">
        <v>1</v>
      </c>
      <c r="L81" s="188">
        <f t="shared" si="12"/>
        <v>5000</v>
      </c>
      <c r="N81" t="s">
        <v>359</v>
      </c>
      <c r="AE81" s="170" t="e">
        <f t="shared" si="13"/>
        <v>#VALUE!</v>
      </c>
      <c r="AG81" s="168" t="e">
        <f t="shared" si="14"/>
        <v>#VALUE!</v>
      </c>
      <c r="AI81" s="164" t="s">
        <v>455</v>
      </c>
      <c r="AJ81" s="171" t="e">
        <f t="shared" si="15"/>
        <v>#VALUE!</v>
      </c>
      <c r="AL81" t="s">
        <v>455</v>
      </c>
      <c r="AM81" s="171" t="e">
        <f t="shared" si="16"/>
        <v>#VALUE!</v>
      </c>
      <c r="AN81" s="171" t="e">
        <f t="shared" si="17"/>
        <v>#VALUE!</v>
      </c>
      <c r="AX81" s="168">
        <v>22</v>
      </c>
    </row>
    <row r="82" spans="1:50">
      <c r="A82" s="95" t="str">
        <f t="shared" si="10"/>
        <v>\cite{Proops1996}</v>
      </c>
      <c r="B82" s="166" t="s">
        <v>435</v>
      </c>
      <c r="C82" s="156">
        <v>1996</v>
      </c>
      <c r="D82" s="157"/>
      <c r="E82" s="11">
        <f t="shared" si="11"/>
        <v>1996</v>
      </c>
      <c r="F82" s="185">
        <f>LOOKUP(E82,Total_wind_installed_capacity!$A$3:$A$28,Total_wind_installed_capacity!$H$3:$H$28)</f>
        <v>5.6738550000000005</v>
      </c>
      <c r="J82" s="170">
        <v>6600</v>
      </c>
      <c r="K82">
        <v>1</v>
      </c>
      <c r="L82" s="188">
        <f t="shared" si="12"/>
        <v>6600</v>
      </c>
      <c r="N82" t="s">
        <v>348</v>
      </c>
      <c r="AE82" s="170">
        <f t="shared" si="13"/>
        <v>4044113.5679999995</v>
      </c>
      <c r="AG82" s="168">
        <f t="shared" si="14"/>
        <v>0.61274447999999992</v>
      </c>
      <c r="AI82" s="164">
        <v>0.28999999999999998</v>
      </c>
      <c r="AJ82" s="171">
        <f t="shared" si="15"/>
        <v>16766639.999999998</v>
      </c>
      <c r="AL82">
        <v>20</v>
      </c>
      <c r="AM82" s="171">
        <f t="shared" si="16"/>
        <v>335332799.99999994</v>
      </c>
      <c r="AN82" s="171">
        <f t="shared" si="17"/>
        <v>50807999.999999993</v>
      </c>
      <c r="AX82" s="168">
        <v>12.06</v>
      </c>
    </row>
    <row r="83" spans="1:50">
      <c r="A83" s="95" t="str">
        <f t="shared" si="10"/>
        <v>\cite{Proops1996}</v>
      </c>
      <c r="B83" s="166" t="s">
        <v>435</v>
      </c>
      <c r="C83" s="156">
        <v>1996</v>
      </c>
      <c r="D83" s="157"/>
      <c r="E83" s="11">
        <f t="shared" si="11"/>
        <v>1996</v>
      </c>
      <c r="F83" s="185">
        <f>LOOKUP(E83,Total_wind_installed_capacity!$A$3:$A$28,Total_wind_installed_capacity!$H$3:$H$28)</f>
        <v>5.6738550000000005</v>
      </c>
      <c r="J83" s="170">
        <v>6600</v>
      </c>
      <c r="K83">
        <v>1</v>
      </c>
      <c r="L83" s="188">
        <f t="shared" si="12"/>
        <v>6600</v>
      </c>
      <c r="N83" t="s">
        <v>348</v>
      </c>
      <c r="AE83" s="170">
        <f t="shared" si="13"/>
        <v>7575167.9519999987</v>
      </c>
      <c r="AG83" s="168">
        <f t="shared" si="14"/>
        <v>1.1477527199999997</v>
      </c>
      <c r="AI83" s="164">
        <v>0.28999999999999998</v>
      </c>
      <c r="AJ83" s="171">
        <f t="shared" si="15"/>
        <v>16766639.999999998</v>
      </c>
      <c r="AL83">
        <v>20</v>
      </c>
      <c r="AM83" s="171">
        <f t="shared" si="16"/>
        <v>335332799.99999994</v>
      </c>
      <c r="AN83" s="171">
        <f t="shared" si="17"/>
        <v>50807999.999999993</v>
      </c>
      <c r="AX83" s="168">
        <v>22.59</v>
      </c>
    </row>
    <row r="84" spans="1:50">
      <c r="A84" s="95" t="str">
        <f t="shared" si="10"/>
        <v>\cite{Proops1996}</v>
      </c>
      <c r="B84" s="166" t="s">
        <v>435</v>
      </c>
      <c r="C84" s="156">
        <v>1996</v>
      </c>
      <c r="D84" s="157"/>
      <c r="E84" s="11">
        <f t="shared" si="11"/>
        <v>1996</v>
      </c>
      <c r="F84" s="185">
        <f>LOOKUP(E84,Total_wind_installed_capacity!$A$3:$A$28,Total_wind_installed_capacity!$H$3:$H$28)</f>
        <v>5.6738550000000005</v>
      </c>
      <c r="J84" s="170">
        <v>6600</v>
      </c>
      <c r="K84">
        <v>1</v>
      </c>
      <c r="L84" s="188">
        <f t="shared" si="12"/>
        <v>6600</v>
      </c>
      <c r="N84" t="s">
        <v>348</v>
      </c>
      <c r="AE84" s="170">
        <f t="shared" si="13"/>
        <v>11612574.863999996</v>
      </c>
      <c r="AG84" s="168">
        <f t="shared" si="14"/>
        <v>1.7594810399999994</v>
      </c>
      <c r="AI84" s="164">
        <v>0.28999999999999998</v>
      </c>
      <c r="AJ84" s="171">
        <f t="shared" si="15"/>
        <v>16766639.999999998</v>
      </c>
      <c r="AL84">
        <v>20</v>
      </c>
      <c r="AM84" s="171">
        <f t="shared" si="16"/>
        <v>335332799.99999994</v>
      </c>
      <c r="AN84" s="171">
        <f t="shared" si="17"/>
        <v>50807999.999999993</v>
      </c>
      <c r="AX84" s="168">
        <v>34.629999999999995</v>
      </c>
    </row>
    <row r="85" spans="1:50">
      <c r="A85" s="95" t="str">
        <f t="shared" si="10"/>
        <v>\cite{Rule2009}</v>
      </c>
      <c r="B85" s="166" t="s">
        <v>436</v>
      </c>
      <c r="C85" s="156">
        <v>2009</v>
      </c>
      <c r="D85" s="157"/>
      <c r="E85" s="11">
        <f t="shared" si="11"/>
        <v>2009</v>
      </c>
      <c r="F85" s="185">
        <f>LOOKUP(E85,Total_wind_installed_capacity!$A$3:$A$28,Total_wind_installed_capacity!$H$3:$H$28)</f>
        <v>151.3704745</v>
      </c>
      <c r="J85" s="170">
        <v>1650</v>
      </c>
      <c r="K85">
        <v>1</v>
      </c>
      <c r="L85" s="188">
        <f t="shared" si="12"/>
        <v>1650</v>
      </c>
      <c r="N85" t="s">
        <v>348</v>
      </c>
      <c r="AE85" s="170">
        <f t="shared" si="13"/>
        <v>1685454.5454545454</v>
      </c>
      <c r="AG85" s="168">
        <f t="shared" si="14"/>
        <v>1.0214876033057851</v>
      </c>
      <c r="AI85" s="164">
        <v>0.38869391297784822</v>
      </c>
      <c r="AJ85" s="171">
        <f t="shared" si="15"/>
        <v>5618181.8181818184</v>
      </c>
      <c r="AL85">
        <v>100</v>
      </c>
      <c r="AM85" s="171">
        <f t="shared" si="16"/>
        <v>561818181.81818187</v>
      </c>
      <c r="AN85" s="171">
        <f t="shared" si="17"/>
        <v>340495867.76859504</v>
      </c>
      <c r="AX85" s="168">
        <v>3</v>
      </c>
    </row>
    <row r="86" spans="1:50">
      <c r="A86" s="95" t="str">
        <f t="shared" si="10"/>
        <v>\cite{Rydh2004}</v>
      </c>
      <c r="B86" s="166" t="s">
        <v>437</v>
      </c>
      <c r="C86" s="156">
        <v>2004</v>
      </c>
      <c r="D86" s="157"/>
      <c r="E86" s="11">
        <f t="shared" si="11"/>
        <v>2004</v>
      </c>
      <c r="F86" s="185">
        <f>LOOKUP(E86,Total_wind_installed_capacity!$A$3:$A$28,Total_wind_installed_capacity!$H$3:$H$28)</f>
        <v>46.3964675</v>
      </c>
      <c r="J86" s="170">
        <v>225</v>
      </c>
      <c r="K86">
        <v>1</v>
      </c>
      <c r="L86" s="188">
        <f t="shared" si="12"/>
        <v>225</v>
      </c>
      <c r="N86" t="s">
        <v>348</v>
      </c>
      <c r="AE86" s="170">
        <f t="shared" si="13"/>
        <v>110691.36</v>
      </c>
      <c r="AG86" s="168">
        <f t="shared" si="14"/>
        <v>0.4919616</v>
      </c>
      <c r="AI86" s="164">
        <v>0.26</v>
      </c>
      <c r="AJ86" s="171">
        <f t="shared" si="15"/>
        <v>512460</v>
      </c>
      <c r="AL86">
        <v>30</v>
      </c>
      <c r="AM86" s="171">
        <f t="shared" si="16"/>
        <v>15373800</v>
      </c>
      <c r="AN86" s="171">
        <f t="shared" si="17"/>
        <v>68328000</v>
      </c>
      <c r="AX86" s="168">
        <v>7.2</v>
      </c>
    </row>
    <row r="87" spans="1:50">
      <c r="A87" s="95" t="str">
        <f t="shared" si="10"/>
        <v>\cite{Rydh2004}</v>
      </c>
      <c r="B87" s="166" t="s">
        <v>437</v>
      </c>
      <c r="C87" s="156">
        <v>2004</v>
      </c>
      <c r="D87" s="157"/>
      <c r="E87" s="11">
        <f t="shared" si="11"/>
        <v>2004</v>
      </c>
      <c r="F87" s="185">
        <f>LOOKUP(E87,Total_wind_installed_capacity!$A$3:$A$28,Total_wind_installed_capacity!$H$3:$H$28)</f>
        <v>46.3964675</v>
      </c>
      <c r="J87" s="170">
        <v>2000</v>
      </c>
      <c r="K87">
        <v>1</v>
      </c>
      <c r="L87" s="188">
        <f t="shared" si="12"/>
        <v>2000</v>
      </c>
      <c r="N87" t="s">
        <v>348</v>
      </c>
      <c r="AE87" s="170">
        <f t="shared" si="13"/>
        <v>895272</v>
      </c>
      <c r="AG87" s="168">
        <f t="shared" si="14"/>
        <v>0.44763600000000003</v>
      </c>
      <c r="AI87" s="164">
        <v>0.35</v>
      </c>
      <c r="AJ87" s="171">
        <f t="shared" si="15"/>
        <v>6132000</v>
      </c>
      <c r="AL87">
        <v>20</v>
      </c>
      <c r="AM87" s="171">
        <f t="shared" si="16"/>
        <v>122640000</v>
      </c>
      <c r="AN87" s="171">
        <f t="shared" si="17"/>
        <v>61320000</v>
      </c>
      <c r="AX87" s="168">
        <v>7.3</v>
      </c>
    </row>
    <row r="88" spans="1:50">
      <c r="A88" s="95" t="str">
        <f t="shared" si="10"/>
        <v>\cite{Rydh2004}</v>
      </c>
      <c r="B88" s="166" t="s">
        <v>437</v>
      </c>
      <c r="C88" s="156">
        <v>2004</v>
      </c>
      <c r="D88" s="157"/>
      <c r="E88" s="11">
        <f t="shared" si="11"/>
        <v>2004</v>
      </c>
      <c r="F88" s="185">
        <f>LOOKUP(E88,Total_wind_installed_capacity!$A$3:$A$28,Total_wind_installed_capacity!$H$3:$H$28)</f>
        <v>46.3964675</v>
      </c>
      <c r="J88" s="170">
        <v>225</v>
      </c>
      <c r="K88">
        <v>1</v>
      </c>
      <c r="L88" s="188">
        <f t="shared" si="12"/>
        <v>225</v>
      </c>
      <c r="N88" t="s">
        <v>348</v>
      </c>
      <c r="AE88" s="170">
        <f t="shared" si="13"/>
        <v>112741.2</v>
      </c>
      <c r="AG88" s="168">
        <f t="shared" si="14"/>
        <v>0.50107199999999996</v>
      </c>
      <c r="AI88" s="164">
        <v>0.26</v>
      </c>
      <c r="AJ88" s="171">
        <f t="shared" si="15"/>
        <v>512460</v>
      </c>
      <c r="AL88">
        <v>20</v>
      </c>
      <c r="AM88" s="171">
        <f t="shared" si="16"/>
        <v>10249200</v>
      </c>
      <c r="AN88" s="171">
        <f t="shared" si="17"/>
        <v>45552000</v>
      </c>
      <c r="AX88" s="168">
        <v>11</v>
      </c>
    </row>
    <row r="89" spans="1:50">
      <c r="A89" s="95" t="str">
        <f t="shared" si="10"/>
        <v>\cite{Rydh2004}</v>
      </c>
      <c r="B89" s="166" t="s">
        <v>437</v>
      </c>
      <c r="C89" s="156">
        <v>2004</v>
      </c>
      <c r="D89" s="157"/>
      <c r="E89" s="11">
        <f t="shared" si="11"/>
        <v>2004</v>
      </c>
      <c r="F89" s="185">
        <f>LOOKUP(E89,Total_wind_installed_capacity!$A$3:$A$28,Total_wind_installed_capacity!$H$3:$H$28)</f>
        <v>46.3964675</v>
      </c>
      <c r="J89" s="170">
        <v>225</v>
      </c>
      <c r="K89">
        <v>1</v>
      </c>
      <c r="L89" s="188">
        <f t="shared" si="12"/>
        <v>225</v>
      </c>
      <c r="N89" t="s">
        <v>348</v>
      </c>
      <c r="AE89" s="170">
        <f t="shared" si="13"/>
        <v>112741.2</v>
      </c>
      <c r="AG89" s="168">
        <f t="shared" si="14"/>
        <v>0.50107199999999996</v>
      </c>
      <c r="AI89" s="164">
        <v>0.26</v>
      </c>
      <c r="AJ89" s="171">
        <f t="shared" si="15"/>
        <v>512460</v>
      </c>
      <c r="AL89">
        <v>20</v>
      </c>
      <c r="AM89" s="171">
        <f t="shared" si="16"/>
        <v>10249200</v>
      </c>
      <c r="AN89" s="171">
        <f t="shared" si="17"/>
        <v>45552000</v>
      </c>
      <c r="AX89" s="168">
        <v>11</v>
      </c>
    </row>
    <row r="90" spans="1:50">
      <c r="A90" s="95" t="str">
        <f t="shared" si="10"/>
        <v>\cite{SECDA1994}</v>
      </c>
      <c r="B90" s="166" t="s">
        <v>451</v>
      </c>
      <c r="C90" s="156">
        <v>1994</v>
      </c>
      <c r="D90" s="157"/>
      <c r="E90" s="11">
        <f t="shared" si="11"/>
        <v>1994</v>
      </c>
      <c r="F90" s="185">
        <f>LOOKUP(E90,Total_wind_installed_capacity!$A$3:$A$28,Total_wind_installed_capacity!$H$3:$H$28)</f>
        <v>3.343855</v>
      </c>
      <c r="J90" s="170">
        <v>300</v>
      </c>
      <c r="K90">
        <v>1</v>
      </c>
      <c r="L90" s="188">
        <f t="shared" si="12"/>
        <v>300</v>
      </c>
      <c r="N90" t="s">
        <v>348</v>
      </c>
      <c r="AE90" s="170">
        <f t="shared" si="13"/>
        <v>281174.97600000002</v>
      </c>
      <c r="AG90" s="168">
        <f t="shared" si="14"/>
        <v>0.93724992000000007</v>
      </c>
      <c r="AI90" s="164">
        <v>0.24</v>
      </c>
      <c r="AJ90" s="171">
        <f t="shared" si="15"/>
        <v>630720</v>
      </c>
      <c r="AL90">
        <v>40</v>
      </c>
      <c r="AM90" s="171">
        <f t="shared" si="16"/>
        <v>25228800</v>
      </c>
      <c r="AN90" s="171">
        <f t="shared" si="17"/>
        <v>84096000</v>
      </c>
      <c r="AX90" s="168">
        <v>11.145</v>
      </c>
    </row>
    <row r="91" spans="1:50">
      <c r="A91" s="95" t="str">
        <f t="shared" si="10"/>
        <v>\cite{Schleisner2000}</v>
      </c>
      <c r="B91" s="166" t="s">
        <v>438</v>
      </c>
      <c r="C91" s="156">
        <v>2000</v>
      </c>
      <c r="D91" s="157"/>
      <c r="E91" s="11">
        <f t="shared" si="11"/>
        <v>2000</v>
      </c>
      <c r="F91" s="185">
        <f>LOOKUP(E91,Total_wind_installed_capacity!$A$3:$A$28,Total_wind_installed_capacity!$H$3:$H$28)</f>
        <v>16.347073333333334</v>
      </c>
      <c r="J91" s="170">
        <v>500</v>
      </c>
      <c r="K91">
        <v>1</v>
      </c>
      <c r="L91" s="188">
        <f t="shared" si="12"/>
        <v>500</v>
      </c>
      <c r="N91" t="s">
        <v>348</v>
      </c>
      <c r="AE91" s="170">
        <f t="shared" si="13"/>
        <v>213400.00000000003</v>
      </c>
      <c r="AG91" s="168">
        <f t="shared" si="14"/>
        <v>0.42680000000000007</v>
      </c>
      <c r="AI91" s="164">
        <v>0.25114155251141557</v>
      </c>
      <c r="AJ91" s="171">
        <f t="shared" si="15"/>
        <v>1100000.0000000002</v>
      </c>
      <c r="AL91">
        <v>20</v>
      </c>
      <c r="AM91" s="171">
        <f t="shared" si="16"/>
        <v>22000000.000000004</v>
      </c>
      <c r="AN91" s="171">
        <f t="shared" si="17"/>
        <v>44000000.000000007</v>
      </c>
      <c r="AX91" s="168">
        <v>9.6999999999999993</v>
      </c>
    </row>
    <row r="92" spans="1:50">
      <c r="A92" s="95" t="str">
        <f t="shared" si="10"/>
        <v>\cite{Schleisner2000}</v>
      </c>
      <c r="B92" s="166" t="s">
        <v>438</v>
      </c>
      <c r="C92" s="156">
        <v>2000</v>
      </c>
      <c r="D92" s="157"/>
      <c r="E92" s="11">
        <f t="shared" si="11"/>
        <v>2000</v>
      </c>
      <c r="F92" s="185">
        <f>LOOKUP(E92,Total_wind_installed_capacity!$A$3:$A$28,Total_wind_installed_capacity!$H$3:$H$28)</f>
        <v>16.347073333333334</v>
      </c>
      <c r="J92" s="170">
        <v>500</v>
      </c>
      <c r="K92">
        <v>1</v>
      </c>
      <c r="L92" s="188">
        <f t="shared" si="12"/>
        <v>500</v>
      </c>
      <c r="N92" t="s">
        <v>359</v>
      </c>
      <c r="AE92" s="170">
        <f t="shared" si="13"/>
        <v>412500</v>
      </c>
      <c r="AG92" s="168">
        <f t="shared" si="14"/>
        <v>0.82499999999999996</v>
      </c>
      <c r="AI92" s="164">
        <v>0.28538812785388129</v>
      </c>
      <c r="AJ92" s="171">
        <f t="shared" si="15"/>
        <v>1250000</v>
      </c>
      <c r="AL92">
        <v>20</v>
      </c>
      <c r="AM92" s="171">
        <f t="shared" si="16"/>
        <v>25000000</v>
      </c>
      <c r="AN92" s="171">
        <f t="shared" si="17"/>
        <v>50000000</v>
      </c>
      <c r="AX92" s="168">
        <v>16.5</v>
      </c>
    </row>
    <row r="93" spans="1:50">
      <c r="A93" s="95" t="str">
        <f t="shared" si="10"/>
        <v>\cite{Spitzley2004}</v>
      </c>
      <c r="B93" s="166" t="s">
        <v>439</v>
      </c>
      <c r="C93" s="156">
        <v>2004</v>
      </c>
      <c r="D93" s="157"/>
      <c r="E93" s="11">
        <f t="shared" si="11"/>
        <v>2004</v>
      </c>
      <c r="F93" s="185">
        <f>LOOKUP(E93,Total_wind_installed_capacity!$A$3:$A$28,Total_wind_installed_capacity!$H$3:$H$28)</f>
        <v>46.3964675</v>
      </c>
      <c r="J93" s="170">
        <v>500</v>
      </c>
      <c r="K93">
        <v>1</v>
      </c>
      <c r="L93" s="188">
        <f t="shared" si="12"/>
        <v>500</v>
      </c>
      <c r="N93" t="s">
        <v>348</v>
      </c>
      <c r="AE93" s="170">
        <f t="shared" si="13"/>
        <v>79131.550320000009</v>
      </c>
      <c r="AG93" s="168">
        <f t="shared" si="14"/>
        <v>0.15826310064000002</v>
      </c>
      <c r="AI93" s="164">
        <v>0.36</v>
      </c>
      <c r="AJ93" s="171">
        <f t="shared" si="15"/>
        <v>1576800</v>
      </c>
      <c r="AL93">
        <v>30</v>
      </c>
      <c r="AM93" s="171">
        <f t="shared" si="16"/>
        <v>47304000</v>
      </c>
      <c r="AN93" s="171">
        <f t="shared" si="17"/>
        <v>94608000</v>
      </c>
      <c r="AX93" s="168">
        <v>1.6728300000000003</v>
      </c>
    </row>
    <row r="94" spans="1:50">
      <c r="A94" s="95" t="str">
        <f t="shared" si="10"/>
        <v>\cite{Spitzley2004}</v>
      </c>
      <c r="B94" s="166" t="s">
        <v>439</v>
      </c>
      <c r="C94" s="156">
        <v>2004</v>
      </c>
      <c r="D94" s="157"/>
      <c r="E94" s="11">
        <f t="shared" si="11"/>
        <v>2004</v>
      </c>
      <c r="F94" s="185">
        <f>LOOKUP(E94,Total_wind_installed_capacity!$A$3:$A$28,Total_wind_installed_capacity!$H$3:$H$28)</f>
        <v>46.3964675</v>
      </c>
      <c r="J94" s="170">
        <v>500</v>
      </c>
      <c r="K94">
        <v>1</v>
      </c>
      <c r="L94" s="188">
        <f t="shared" si="12"/>
        <v>500</v>
      </c>
      <c r="N94" t="s">
        <v>348</v>
      </c>
      <c r="AE94" s="170">
        <f t="shared" si="13"/>
        <v>85521.37463999998</v>
      </c>
      <c r="AG94" s="168">
        <f t="shared" si="14"/>
        <v>0.17104274927999996</v>
      </c>
      <c r="AI94" s="164">
        <v>0.26</v>
      </c>
      <c r="AJ94" s="171">
        <f t="shared" si="15"/>
        <v>1138800</v>
      </c>
      <c r="AL94">
        <v>30</v>
      </c>
      <c r="AM94" s="171">
        <f t="shared" si="16"/>
        <v>34164000</v>
      </c>
      <c r="AN94" s="171">
        <f t="shared" si="17"/>
        <v>68328000</v>
      </c>
      <c r="AX94" s="168">
        <v>2.5032599999999996</v>
      </c>
    </row>
    <row r="95" spans="1:50">
      <c r="A95" s="95" t="str">
        <f t="shared" si="10"/>
        <v>\cite{Tremeac2009}</v>
      </c>
      <c r="B95" s="166" t="s">
        <v>409</v>
      </c>
      <c r="C95" s="156">
        <v>2009</v>
      </c>
      <c r="D95" s="157"/>
      <c r="E95" s="11">
        <f t="shared" si="11"/>
        <v>2009</v>
      </c>
      <c r="F95" s="185">
        <f>LOOKUP(E95,Total_wind_installed_capacity!$A$3:$A$28,Total_wind_installed_capacity!$H$3:$H$28)</f>
        <v>151.3704745</v>
      </c>
      <c r="J95" s="170">
        <v>4500</v>
      </c>
      <c r="K95">
        <v>1</v>
      </c>
      <c r="L95" s="188">
        <f t="shared" si="12"/>
        <v>4500</v>
      </c>
      <c r="N95" t="s">
        <v>348</v>
      </c>
      <c r="AE95" s="170">
        <f t="shared" si="13"/>
        <v>2823733.44</v>
      </c>
      <c r="AG95" s="168">
        <f t="shared" si="14"/>
        <v>0.62749632</v>
      </c>
      <c r="AI95" s="164">
        <v>0.29599999999999999</v>
      </c>
      <c r="AJ95" s="171">
        <f t="shared" si="15"/>
        <v>11668320</v>
      </c>
      <c r="AL95">
        <v>20</v>
      </c>
      <c r="AM95" s="171">
        <f t="shared" si="16"/>
        <v>233366400</v>
      </c>
      <c r="AN95" s="171">
        <f t="shared" si="17"/>
        <v>51859200</v>
      </c>
      <c r="AX95" s="168">
        <v>12.1</v>
      </c>
    </row>
    <row r="96" spans="1:50">
      <c r="A96" s="95" t="str">
        <f t="shared" si="10"/>
        <v>\cite{Tremeac2009}</v>
      </c>
      <c r="B96" s="166" t="s">
        <v>409</v>
      </c>
      <c r="C96" s="156">
        <v>2009</v>
      </c>
      <c r="D96" s="157"/>
      <c r="E96" s="11">
        <f t="shared" si="11"/>
        <v>2009</v>
      </c>
      <c r="F96" s="185">
        <f>LOOKUP(E96,Total_wind_installed_capacity!$A$3:$A$28,Total_wind_installed_capacity!$H$3:$H$28)</f>
        <v>151.3704745</v>
      </c>
      <c r="J96" s="170">
        <v>4500</v>
      </c>
      <c r="K96">
        <v>1</v>
      </c>
      <c r="L96" s="188">
        <f t="shared" si="12"/>
        <v>4500</v>
      </c>
      <c r="N96" t="s">
        <v>348</v>
      </c>
      <c r="AE96" s="170">
        <f t="shared" si="13"/>
        <v>3737016</v>
      </c>
      <c r="AG96" s="168">
        <f t="shared" si="14"/>
        <v>0.83044799999999996</v>
      </c>
      <c r="AI96" s="164">
        <v>0.3</v>
      </c>
      <c r="AJ96" s="171">
        <f t="shared" si="15"/>
        <v>11826000</v>
      </c>
      <c r="AL96">
        <v>20</v>
      </c>
      <c r="AM96" s="171">
        <f t="shared" si="16"/>
        <v>236520000</v>
      </c>
      <c r="AN96" s="171">
        <f t="shared" si="17"/>
        <v>52560000</v>
      </c>
      <c r="AX96" s="168">
        <v>15.8</v>
      </c>
    </row>
    <row r="97" spans="1:50">
      <c r="A97" s="95" t="str">
        <f t="shared" si="10"/>
        <v>\cite{Tremeac2009}</v>
      </c>
      <c r="B97" s="166" t="s">
        <v>409</v>
      </c>
      <c r="C97" s="156">
        <v>2009</v>
      </c>
      <c r="D97" s="157"/>
      <c r="E97" s="11">
        <f t="shared" si="11"/>
        <v>2009</v>
      </c>
      <c r="F97" s="185">
        <f>LOOKUP(E97,Total_wind_installed_capacity!$A$3:$A$28,Total_wind_installed_capacity!$H$3:$H$28)</f>
        <v>151.3704745</v>
      </c>
      <c r="J97" s="170">
        <v>4500</v>
      </c>
      <c r="K97">
        <v>1</v>
      </c>
      <c r="L97" s="188">
        <f t="shared" si="12"/>
        <v>4500</v>
      </c>
      <c r="N97" t="s">
        <v>348</v>
      </c>
      <c r="AE97" s="170">
        <f t="shared" si="13"/>
        <v>4947367.68</v>
      </c>
      <c r="AG97" s="168">
        <f t="shared" si="14"/>
        <v>1.0994150399999998</v>
      </c>
      <c r="AI97" s="164">
        <v>0.29599999999999999</v>
      </c>
      <c r="AJ97" s="171">
        <f t="shared" si="15"/>
        <v>11668320</v>
      </c>
      <c r="AL97">
        <v>20</v>
      </c>
      <c r="AM97" s="171">
        <f t="shared" si="16"/>
        <v>233366400</v>
      </c>
      <c r="AN97" s="171">
        <f t="shared" si="17"/>
        <v>51859200</v>
      </c>
      <c r="AX97" s="168">
        <v>21.2</v>
      </c>
    </row>
    <row r="98" spans="1:50">
      <c r="A98" s="95" t="str">
        <f t="shared" ref="A98:A103" si="18">CONCATENATE("\cite{",B98,C98,"}")</f>
        <v>\cite{Uchiyama1996}</v>
      </c>
      <c r="B98" s="166" t="s">
        <v>440</v>
      </c>
      <c r="C98" s="156">
        <v>1996</v>
      </c>
      <c r="D98" s="157"/>
      <c r="E98" s="11">
        <f t="shared" si="11"/>
        <v>1996</v>
      </c>
      <c r="F98" s="185">
        <f>LOOKUP(E98,Total_wind_installed_capacity!$A$3:$A$28,Total_wind_installed_capacity!$H$3:$H$28)</f>
        <v>5.6738550000000005</v>
      </c>
      <c r="J98" s="170">
        <v>400</v>
      </c>
      <c r="K98">
        <v>1</v>
      </c>
      <c r="L98" s="188">
        <f t="shared" si="12"/>
        <v>400</v>
      </c>
      <c r="N98" t="s">
        <v>348</v>
      </c>
      <c r="AE98" s="170">
        <f t="shared" si="13"/>
        <v>0</v>
      </c>
      <c r="AG98" s="168">
        <f t="shared" si="14"/>
        <v>0</v>
      </c>
      <c r="AI98" s="164">
        <v>0.2</v>
      </c>
      <c r="AJ98" s="171">
        <f t="shared" si="15"/>
        <v>700800</v>
      </c>
      <c r="AM98" s="171">
        <f t="shared" si="16"/>
        <v>0</v>
      </c>
      <c r="AN98" s="171">
        <f t="shared" si="17"/>
        <v>0</v>
      </c>
      <c r="AX98" s="168">
        <v>24.053333333333331</v>
      </c>
    </row>
    <row r="99" spans="1:50">
      <c r="A99" s="95" t="str">
        <f t="shared" si="18"/>
        <v>\cite{Uchiyama1996}</v>
      </c>
      <c r="B99" s="166" t="s">
        <v>440</v>
      </c>
      <c r="C99" s="156">
        <v>1996</v>
      </c>
      <c r="D99" s="157"/>
      <c r="E99" s="11">
        <f t="shared" si="11"/>
        <v>1996</v>
      </c>
      <c r="F99" s="185">
        <f>LOOKUP(E99,Total_wind_installed_capacity!$A$3:$A$28,Total_wind_installed_capacity!$H$3:$H$28)</f>
        <v>5.6738550000000005</v>
      </c>
      <c r="J99" s="170">
        <v>300</v>
      </c>
      <c r="K99">
        <v>1</v>
      </c>
      <c r="L99" s="188">
        <f t="shared" si="12"/>
        <v>300</v>
      </c>
      <c r="N99" t="s">
        <v>348</v>
      </c>
      <c r="AE99" s="170">
        <f t="shared" si="13"/>
        <v>0</v>
      </c>
      <c r="AG99" s="168">
        <f t="shared" si="14"/>
        <v>0</v>
      </c>
      <c r="AI99" s="164">
        <v>0.2</v>
      </c>
      <c r="AJ99" s="171">
        <f t="shared" si="15"/>
        <v>525600</v>
      </c>
      <c r="AM99" s="171">
        <f t="shared" si="16"/>
        <v>0</v>
      </c>
      <c r="AN99" s="171">
        <f t="shared" si="17"/>
        <v>0</v>
      </c>
      <c r="AX99" s="168">
        <v>34.869999999999997</v>
      </c>
    </row>
    <row r="100" spans="1:50">
      <c r="A100" s="95" t="str">
        <f t="shared" si="18"/>
        <v>\cite{van de Vate1996}</v>
      </c>
      <c r="B100" s="166" t="s">
        <v>441</v>
      </c>
      <c r="C100" s="156">
        <v>1996</v>
      </c>
      <c r="D100" s="157"/>
      <c r="E100" s="11">
        <f t="shared" si="11"/>
        <v>1996</v>
      </c>
      <c r="F100" s="185">
        <f>LOOKUP(E100,Total_wind_installed_capacity!$A$3:$A$28,Total_wind_installed_capacity!$H$3:$H$28)</f>
        <v>5.6738550000000005</v>
      </c>
      <c r="J100" s="170">
        <v>300</v>
      </c>
      <c r="K100">
        <v>1</v>
      </c>
      <c r="L100" s="188">
        <f t="shared" si="12"/>
        <v>300</v>
      </c>
      <c r="N100" t="s">
        <v>348</v>
      </c>
      <c r="AE100" s="170">
        <f t="shared" si="13"/>
        <v>132000</v>
      </c>
      <c r="AG100" s="168">
        <f t="shared" si="14"/>
        <v>0.44</v>
      </c>
      <c r="AI100" s="164">
        <v>0.22831050228310501</v>
      </c>
      <c r="AJ100" s="171">
        <f t="shared" si="15"/>
        <v>600000</v>
      </c>
      <c r="AL100">
        <v>20</v>
      </c>
      <c r="AM100" s="171">
        <f t="shared" si="16"/>
        <v>12000000</v>
      </c>
      <c r="AN100" s="171">
        <f t="shared" si="17"/>
        <v>40000000</v>
      </c>
      <c r="AX100" s="168">
        <v>11</v>
      </c>
    </row>
    <row r="101" spans="1:50">
      <c r="A101" s="95" t="str">
        <f t="shared" si="18"/>
        <v>\cite{Vattenfall d2003}</v>
      </c>
      <c r="B101" s="166" t="s">
        <v>452</v>
      </c>
      <c r="C101" s="156">
        <v>2003</v>
      </c>
      <c r="D101" s="157"/>
      <c r="E101" s="11">
        <f t="shared" si="11"/>
        <v>2003</v>
      </c>
      <c r="F101" s="185">
        <f>LOOKUP(E101,Total_wind_installed_capacity!$A$3:$A$28,Total_wind_installed_capacity!$H$3:$H$28)</f>
        <v>38.113542499999994</v>
      </c>
      <c r="J101" s="170">
        <v>652.27272727272725</v>
      </c>
      <c r="K101">
        <v>1</v>
      </c>
      <c r="L101" s="188">
        <f t="shared" si="12"/>
        <v>652.27272727272725</v>
      </c>
      <c r="N101" t="s">
        <v>348</v>
      </c>
      <c r="AE101" s="170">
        <f t="shared" si="13"/>
        <v>309799.88863636361</v>
      </c>
      <c r="AG101" s="168">
        <f t="shared" si="14"/>
        <v>0.4749545331010453</v>
      </c>
      <c r="AI101" s="164">
        <v>0.2105574912891986</v>
      </c>
      <c r="AJ101" s="171">
        <f t="shared" si="15"/>
        <v>1203106.3636363635</v>
      </c>
      <c r="AL101">
        <v>25</v>
      </c>
      <c r="AM101" s="171">
        <f t="shared" si="16"/>
        <v>30077659.09090909</v>
      </c>
      <c r="AN101" s="171">
        <f t="shared" si="17"/>
        <v>46112090.592334501</v>
      </c>
      <c r="AX101" s="168">
        <v>10.3</v>
      </c>
    </row>
    <row r="102" spans="1:50">
      <c r="A102" s="95" t="str">
        <f t="shared" si="18"/>
        <v>\cite{Vattenfall e2010}</v>
      </c>
      <c r="B102" s="166" t="s">
        <v>453</v>
      </c>
      <c r="C102" s="156">
        <v>2010</v>
      </c>
      <c r="D102" s="157"/>
      <c r="E102" s="11">
        <f t="shared" si="11"/>
        <v>2010</v>
      </c>
      <c r="F102" s="185">
        <f>LOOKUP(E102,Total_wind_installed_capacity!$A$3:$A$28,Total_wind_installed_capacity!$H$3:$H$28)</f>
        <v>183.5233025</v>
      </c>
      <c r="J102" s="170">
        <v>2156.0975609756097</v>
      </c>
      <c r="K102">
        <v>1</v>
      </c>
      <c r="L102" s="188">
        <f t="shared" si="12"/>
        <v>2156.0975609756097</v>
      </c>
      <c r="N102" t="s">
        <v>456</v>
      </c>
      <c r="AE102" s="170">
        <f t="shared" si="13"/>
        <v>1731042.5059199997</v>
      </c>
      <c r="AG102" s="168">
        <f t="shared" si="14"/>
        <v>0.8028590807999999</v>
      </c>
      <c r="AI102" s="164">
        <v>0.28699999999999998</v>
      </c>
      <c r="AJ102" s="171">
        <f t="shared" si="15"/>
        <v>5420687.9999999991</v>
      </c>
      <c r="AL102">
        <v>20</v>
      </c>
      <c r="AM102" s="171">
        <f t="shared" si="16"/>
        <v>108413759.99999999</v>
      </c>
      <c r="AN102" s="171">
        <f t="shared" si="17"/>
        <v>50282399.999999993</v>
      </c>
      <c r="AX102" s="168">
        <v>15.966999999999999</v>
      </c>
    </row>
    <row r="103" spans="1:50">
      <c r="A103" s="95" t="str">
        <f t="shared" si="18"/>
        <v>\cite{Vattenfall e2010}</v>
      </c>
      <c r="B103" s="166" t="s">
        <v>453</v>
      </c>
      <c r="C103" s="156">
        <v>2010</v>
      </c>
      <c r="D103" s="157"/>
      <c r="E103" s="11">
        <f t="shared" si="11"/>
        <v>2010</v>
      </c>
      <c r="F103" s="185">
        <f>LOOKUP(E103,Total_wind_installed_capacity!$A$3:$A$28,Total_wind_installed_capacity!$H$3:$H$28)</f>
        <v>183.5233025</v>
      </c>
      <c r="J103" s="170">
        <v>2156.0975609756097</v>
      </c>
      <c r="K103">
        <v>1</v>
      </c>
      <c r="L103" s="188">
        <f t="shared" si="12"/>
        <v>2156.0975609756097</v>
      </c>
      <c r="N103" t="s">
        <v>456</v>
      </c>
      <c r="AE103" s="170">
        <f t="shared" si="13"/>
        <v>1861139.0179199995</v>
      </c>
      <c r="AG103" s="168">
        <f t="shared" si="14"/>
        <v>0.86319796079999978</v>
      </c>
      <c r="AI103" s="164">
        <v>0.28699999999999998</v>
      </c>
      <c r="AJ103" s="171">
        <f t="shared" si="15"/>
        <v>5420687.9999999991</v>
      </c>
      <c r="AL103">
        <v>20</v>
      </c>
      <c r="AM103" s="171">
        <f t="shared" si="16"/>
        <v>108413759.99999999</v>
      </c>
      <c r="AN103" s="171">
        <f t="shared" si="17"/>
        <v>50282399.999999993</v>
      </c>
      <c r="AX103" s="168">
        <v>17.166999999999998</v>
      </c>
    </row>
    <row r="104" spans="1:50">
      <c r="A104" s="13" t="str">
        <f>CONCATENATE("\cite{",B104,C104,"a","}")</f>
        <v>\cite{Vestas2006a}</v>
      </c>
      <c r="B104" s="166" t="s">
        <v>399</v>
      </c>
      <c r="C104" s="156">
        <v>2006</v>
      </c>
      <c r="D104" s="157"/>
      <c r="E104" s="11">
        <f t="shared" si="11"/>
        <v>2006</v>
      </c>
      <c r="F104" s="185">
        <f>LOOKUP(E104,Total_wind_installed_capacity!$A$3:$A$28,Total_wind_installed_capacity!$H$3:$H$28)</f>
        <v>71.980399999999989</v>
      </c>
      <c r="J104" s="170">
        <v>1650</v>
      </c>
      <c r="K104">
        <v>1</v>
      </c>
      <c r="L104" s="188">
        <f t="shared" si="12"/>
        <v>1650</v>
      </c>
      <c r="N104" t="s">
        <v>348</v>
      </c>
      <c r="AE104" s="170">
        <f t="shared" si="13"/>
        <v>822651.59775743994</v>
      </c>
      <c r="AG104" s="168">
        <f t="shared" si="14"/>
        <v>0.49857672591359992</v>
      </c>
      <c r="AI104" s="164">
        <v>0.40799999999999997</v>
      </c>
      <c r="AJ104" s="171">
        <f t="shared" si="15"/>
        <v>5897232</v>
      </c>
      <c r="AL104">
        <v>20</v>
      </c>
      <c r="AM104" s="171">
        <f t="shared" si="16"/>
        <v>117944640</v>
      </c>
      <c r="AN104" s="171">
        <f t="shared" si="17"/>
        <v>71481600</v>
      </c>
      <c r="AX104" s="168">
        <v>6.9748960000000002</v>
      </c>
    </row>
    <row r="105" spans="1:50">
      <c r="A105" s="13" t="str">
        <f>CONCATENATE("\cite{",B105,C105,"b","}")</f>
        <v>\cite{Vestas2006b}</v>
      </c>
      <c r="B105" s="166" t="s">
        <v>399</v>
      </c>
      <c r="C105" s="156">
        <v>2006</v>
      </c>
      <c r="D105" s="157"/>
      <c r="E105" s="11">
        <f t="shared" si="11"/>
        <v>2006</v>
      </c>
      <c r="F105" s="185">
        <f>LOOKUP(E105,Total_wind_installed_capacity!$A$3:$A$28,Total_wind_installed_capacity!$H$3:$H$28)</f>
        <v>71.980399999999989</v>
      </c>
      <c r="J105" s="170">
        <v>3000</v>
      </c>
      <c r="K105">
        <v>1</v>
      </c>
      <c r="L105" s="188">
        <f t="shared" si="12"/>
        <v>3000</v>
      </c>
      <c r="N105" t="s">
        <v>348</v>
      </c>
      <c r="AE105" s="170">
        <f t="shared" si="13"/>
        <v>1336284.5031705601</v>
      </c>
      <c r="AG105" s="168">
        <f t="shared" si="14"/>
        <v>0.44542816772352006</v>
      </c>
      <c r="AI105" s="164">
        <v>0.54159999999999997</v>
      </c>
      <c r="AJ105" s="171">
        <f t="shared" si="15"/>
        <v>14233248</v>
      </c>
      <c r="AL105">
        <v>20</v>
      </c>
      <c r="AM105" s="171">
        <f t="shared" si="16"/>
        <v>284664960</v>
      </c>
      <c r="AN105" s="171">
        <f t="shared" si="17"/>
        <v>94888320</v>
      </c>
      <c r="AX105" s="168">
        <v>4.6942360000000001</v>
      </c>
    </row>
    <row r="106" spans="1:50">
      <c r="A106" s="13" t="str">
        <f>CONCATENATE("\cite{",B106,C106,"b","}")</f>
        <v>\cite{Vestas2006b}</v>
      </c>
      <c r="B106" s="166" t="s">
        <v>399</v>
      </c>
      <c r="C106" s="156">
        <v>2006</v>
      </c>
      <c r="D106" s="157"/>
      <c r="E106" s="11">
        <f t="shared" si="11"/>
        <v>2006</v>
      </c>
      <c r="F106" s="185">
        <f>LOOKUP(E106,Total_wind_installed_capacity!$A$3:$A$28,Total_wind_installed_capacity!$H$3:$H$28)</f>
        <v>71.980399999999989</v>
      </c>
      <c r="J106" s="170">
        <v>3000</v>
      </c>
      <c r="K106">
        <v>1</v>
      </c>
      <c r="L106" s="188">
        <f t="shared" si="12"/>
        <v>3000</v>
      </c>
      <c r="N106" t="s">
        <v>359</v>
      </c>
      <c r="AE106" s="170">
        <f t="shared" si="13"/>
        <v>1503473.3581478402</v>
      </c>
      <c r="AG106" s="168">
        <f t="shared" si="14"/>
        <v>0.50115778604928007</v>
      </c>
      <c r="AI106" s="164">
        <v>0.54159999999999997</v>
      </c>
      <c r="AJ106" s="171">
        <f t="shared" si="15"/>
        <v>14233248</v>
      </c>
      <c r="AL106">
        <v>20</v>
      </c>
      <c r="AM106" s="171">
        <f t="shared" si="16"/>
        <v>284664960</v>
      </c>
      <c r="AN106" s="171">
        <f t="shared" si="17"/>
        <v>94888320</v>
      </c>
      <c r="AX106" s="168">
        <v>5.2815540000000007</v>
      </c>
    </row>
    <row r="107" spans="1:50">
      <c r="A107" s="95" t="str">
        <f t="shared" ref="A107:A126" si="19">CONCATENATE("\cite{",B107,C107,"}")</f>
        <v>\cite{Voorspools2000}</v>
      </c>
      <c r="B107" s="166" t="s">
        <v>442</v>
      </c>
      <c r="C107" s="156">
        <v>2000</v>
      </c>
      <c r="D107" s="157"/>
      <c r="E107" s="11">
        <f t="shared" si="11"/>
        <v>2000</v>
      </c>
      <c r="F107" s="185">
        <f>LOOKUP(E107,Total_wind_installed_capacity!$A$3:$A$28,Total_wind_installed_capacity!$H$3:$H$28)</f>
        <v>16.347073333333334</v>
      </c>
      <c r="J107" s="170">
        <v>600</v>
      </c>
      <c r="K107">
        <v>1</v>
      </c>
      <c r="L107" s="188">
        <f t="shared" si="12"/>
        <v>600</v>
      </c>
      <c r="N107" t="s">
        <v>348</v>
      </c>
      <c r="AE107" s="170">
        <f t="shared" si="13"/>
        <v>284400</v>
      </c>
      <c r="AG107" s="168">
        <f t="shared" si="14"/>
        <v>0.47399999999999998</v>
      </c>
      <c r="AI107" s="164">
        <v>0.34246575342465752</v>
      </c>
      <c r="AJ107" s="171">
        <f t="shared" si="15"/>
        <v>1800000</v>
      </c>
      <c r="AL107">
        <v>20</v>
      </c>
      <c r="AM107" s="171">
        <f t="shared" si="16"/>
        <v>36000000</v>
      </c>
      <c r="AN107" s="171">
        <f t="shared" si="17"/>
        <v>60000000</v>
      </c>
      <c r="AX107" s="168">
        <v>7.9</v>
      </c>
    </row>
    <row r="108" spans="1:50">
      <c r="A108" s="95" t="str">
        <f t="shared" si="19"/>
        <v>\cite{Voorspools f2000}</v>
      </c>
      <c r="B108" s="166" t="s">
        <v>454</v>
      </c>
      <c r="C108" s="156">
        <v>2000</v>
      </c>
      <c r="D108" s="157"/>
      <c r="E108" s="11">
        <f t="shared" si="11"/>
        <v>2000</v>
      </c>
      <c r="F108" s="185">
        <f>LOOKUP(E108,Total_wind_installed_capacity!$A$3:$A$28,Total_wind_installed_capacity!$H$3:$H$28)</f>
        <v>16.347073333333334</v>
      </c>
      <c r="J108" s="170">
        <v>825</v>
      </c>
      <c r="K108">
        <v>1</v>
      </c>
      <c r="L108" s="188">
        <f t="shared" si="12"/>
        <v>825</v>
      </c>
      <c r="N108" t="s">
        <v>348</v>
      </c>
      <c r="AE108" s="170">
        <f t="shared" si="13"/>
        <v>455399.99999999994</v>
      </c>
      <c r="AG108" s="168">
        <f t="shared" si="14"/>
        <v>0.55199999999999994</v>
      </c>
      <c r="AI108" s="164">
        <v>0.34246575342465752</v>
      </c>
      <c r="AJ108" s="171">
        <f t="shared" si="15"/>
        <v>2475000</v>
      </c>
      <c r="AL108">
        <v>20</v>
      </c>
      <c r="AM108" s="171">
        <f t="shared" si="16"/>
        <v>49500000</v>
      </c>
      <c r="AN108" s="171">
        <f t="shared" si="17"/>
        <v>60000000</v>
      </c>
      <c r="AX108" s="168">
        <v>9.1999999999999993</v>
      </c>
    </row>
    <row r="109" spans="1:50">
      <c r="A109" s="95" t="str">
        <f t="shared" si="19"/>
        <v>\cite{Voorspools2000}</v>
      </c>
      <c r="B109" s="166" t="s">
        <v>442</v>
      </c>
      <c r="C109" s="156">
        <v>2000</v>
      </c>
      <c r="D109" s="157"/>
      <c r="E109" s="11">
        <f t="shared" si="11"/>
        <v>2000</v>
      </c>
      <c r="F109" s="185">
        <f>LOOKUP(E109,Total_wind_installed_capacity!$A$3:$A$28,Total_wind_installed_capacity!$H$3:$H$28)</f>
        <v>16.347073333333334</v>
      </c>
      <c r="J109" s="170">
        <v>600</v>
      </c>
      <c r="K109">
        <v>1</v>
      </c>
      <c r="L109" s="188">
        <f t="shared" si="12"/>
        <v>600</v>
      </c>
      <c r="N109" t="s">
        <v>348</v>
      </c>
      <c r="AE109" s="170">
        <f t="shared" si="13"/>
        <v>288000</v>
      </c>
      <c r="AG109" s="168">
        <f t="shared" si="14"/>
        <v>0.48</v>
      </c>
      <c r="AI109" s="164">
        <v>0.11415525114155251</v>
      </c>
      <c r="AJ109" s="171">
        <f t="shared" si="15"/>
        <v>600000</v>
      </c>
      <c r="AL109">
        <v>20</v>
      </c>
      <c r="AM109" s="171">
        <f t="shared" si="16"/>
        <v>12000000</v>
      </c>
      <c r="AN109" s="171">
        <f t="shared" si="17"/>
        <v>20000000</v>
      </c>
      <c r="AX109" s="168">
        <v>24</v>
      </c>
    </row>
    <row r="110" spans="1:50">
      <c r="A110" s="95" t="str">
        <f t="shared" si="19"/>
        <v>\cite{Voorspools f2000}</v>
      </c>
      <c r="B110" s="166" t="s">
        <v>454</v>
      </c>
      <c r="C110" s="156">
        <v>2000</v>
      </c>
      <c r="D110" s="157"/>
      <c r="E110" s="11">
        <f t="shared" si="11"/>
        <v>2000</v>
      </c>
      <c r="F110" s="185">
        <f>LOOKUP(E110,Total_wind_installed_capacity!$A$3:$A$28,Total_wind_installed_capacity!$H$3:$H$28)</f>
        <v>16.347073333333334</v>
      </c>
      <c r="J110" s="170">
        <v>825</v>
      </c>
      <c r="K110">
        <v>1</v>
      </c>
      <c r="L110" s="188">
        <f t="shared" si="12"/>
        <v>825</v>
      </c>
      <c r="N110" t="s">
        <v>348</v>
      </c>
      <c r="AE110" s="170">
        <f t="shared" si="13"/>
        <v>445500</v>
      </c>
      <c r="AG110" s="168">
        <f t="shared" si="14"/>
        <v>0.54</v>
      </c>
      <c r="AI110" s="164">
        <v>0.11415525114155251</v>
      </c>
      <c r="AJ110" s="171">
        <f t="shared" si="15"/>
        <v>825000</v>
      </c>
      <c r="AL110">
        <v>20</v>
      </c>
      <c r="AM110" s="171">
        <f t="shared" si="16"/>
        <v>16500000</v>
      </c>
      <c r="AN110" s="171">
        <f t="shared" si="17"/>
        <v>20000000</v>
      </c>
      <c r="AX110" s="168">
        <v>27</v>
      </c>
    </row>
    <row r="111" spans="1:50">
      <c r="A111" s="95" t="str">
        <f t="shared" si="19"/>
        <v>\cite{Waters1997}</v>
      </c>
      <c r="B111" s="166" t="s">
        <v>443</v>
      </c>
      <c r="C111" s="156">
        <v>1997</v>
      </c>
      <c r="D111" s="157"/>
      <c r="E111" s="11">
        <f t="shared" si="11"/>
        <v>1997</v>
      </c>
      <c r="F111" s="185">
        <f>LOOKUP(E111,Total_wind_installed_capacity!$A$3:$A$28,Total_wind_installed_capacity!$H$3:$H$28)</f>
        <v>6.7156999999999991</v>
      </c>
      <c r="J111" s="170">
        <v>150</v>
      </c>
      <c r="K111">
        <v>1</v>
      </c>
      <c r="L111" s="188">
        <f t="shared" si="12"/>
        <v>150</v>
      </c>
      <c r="N111" t="s">
        <v>348</v>
      </c>
      <c r="AE111" s="170">
        <f t="shared" si="13"/>
        <v>34813.888888888898</v>
      </c>
      <c r="AG111" s="168">
        <f t="shared" si="14"/>
        <v>0.23209259259259263</v>
      </c>
      <c r="AI111" s="164">
        <v>0.23394779863577428</v>
      </c>
      <c r="AJ111" s="171">
        <f t="shared" si="15"/>
        <v>307407.40740740742</v>
      </c>
      <c r="AL111">
        <v>25</v>
      </c>
      <c r="AM111" s="171">
        <f t="shared" si="16"/>
        <v>7685185.1851851856</v>
      </c>
      <c r="AN111" s="171">
        <f t="shared" si="17"/>
        <v>51234567.901234575</v>
      </c>
      <c r="AX111" s="168">
        <v>4.53</v>
      </c>
    </row>
    <row r="112" spans="1:50">
      <c r="A112" s="95" t="str">
        <f t="shared" si="19"/>
        <v>\cite{Weinzettel2009}</v>
      </c>
      <c r="B112" s="166" t="s">
        <v>398</v>
      </c>
      <c r="C112" s="156">
        <v>2009</v>
      </c>
      <c r="D112" s="157"/>
      <c r="E112" s="11">
        <f t="shared" si="11"/>
        <v>2009</v>
      </c>
      <c r="F112" s="185">
        <f>LOOKUP(E112,Total_wind_installed_capacity!$A$3:$A$28,Total_wind_installed_capacity!$H$3:$H$28)</f>
        <v>151.3704745</v>
      </c>
      <c r="J112" s="170">
        <v>5000</v>
      </c>
      <c r="K112">
        <v>1</v>
      </c>
      <c r="L112" s="188">
        <f t="shared" si="12"/>
        <v>5000</v>
      </c>
      <c r="N112" t="s">
        <v>359</v>
      </c>
      <c r="AE112" s="170">
        <f t="shared" si="13"/>
        <v>5348505.6000000006</v>
      </c>
      <c r="AG112" s="168">
        <f t="shared" si="14"/>
        <v>1.0697011200000002</v>
      </c>
      <c r="AI112" s="164">
        <v>0.53</v>
      </c>
      <c r="AJ112" s="171">
        <f t="shared" si="15"/>
        <v>23214000</v>
      </c>
      <c r="AL112">
        <v>20</v>
      </c>
      <c r="AM112" s="171">
        <f t="shared" si="16"/>
        <v>464280000</v>
      </c>
      <c r="AN112" s="171">
        <f t="shared" si="17"/>
        <v>92856000</v>
      </c>
      <c r="AX112" s="168">
        <v>11.520000000000001</v>
      </c>
    </row>
    <row r="113" spans="1:50">
      <c r="A113" s="95" t="str">
        <f t="shared" si="19"/>
        <v>\cite{Weinzettel2009}</v>
      </c>
      <c r="B113" s="166" t="s">
        <v>398</v>
      </c>
      <c r="C113" s="156">
        <v>2009</v>
      </c>
      <c r="D113" s="157"/>
      <c r="E113" s="11">
        <f t="shared" si="11"/>
        <v>2009</v>
      </c>
      <c r="F113" s="185">
        <f>LOOKUP(E113,Total_wind_installed_capacity!$A$3:$A$28,Total_wind_installed_capacity!$H$3:$H$28)</f>
        <v>151.3704745</v>
      </c>
      <c r="J113" s="170">
        <v>5000</v>
      </c>
      <c r="K113">
        <v>1</v>
      </c>
      <c r="L113" s="188">
        <f t="shared" si="12"/>
        <v>5000</v>
      </c>
      <c r="N113" t="s">
        <v>359</v>
      </c>
      <c r="AE113" s="170">
        <f t="shared" si="13"/>
        <v>5682787.1999999993</v>
      </c>
      <c r="AG113" s="168">
        <f t="shared" si="14"/>
        <v>1.1365574399999998</v>
      </c>
      <c r="AI113" s="164">
        <v>0.53</v>
      </c>
      <c r="AJ113" s="171">
        <f t="shared" si="15"/>
        <v>23214000</v>
      </c>
      <c r="AL113">
        <v>20</v>
      </c>
      <c r="AM113" s="171">
        <f t="shared" si="16"/>
        <v>464280000</v>
      </c>
      <c r="AN113" s="171">
        <f t="shared" si="17"/>
        <v>92856000</v>
      </c>
      <c r="AX113" s="168">
        <v>12.239999999999998</v>
      </c>
    </row>
    <row r="114" spans="1:50">
      <c r="A114" s="95" t="str">
        <f t="shared" si="19"/>
        <v>\cite{Weinzettel2009}</v>
      </c>
      <c r="B114" s="166" t="s">
        <v>398</v>
      </c>
      <c r="C114" s="156">
        <v>2009</v>
      </c>
      <c r="D114" s="157"/>
      <c r="E114" s="11">
        <f t="shared" si="11"/>
        <v>2009</v>
      </c>
      <c r="F114" s="185">
        <f>LOOKUP(E114,Total_wind_installed_capacity!$A$3:$A$28,Total_wind_installed_capacity!$H$3:$H$28)</f>
        <v>151.3704745</v>
      </c>
      <c r="J114" s="170">
        <v>2000</v>
      </c>
      <c r="K114">
        <v>1</v>
      </c>
      <c r="L114" s="188">
        <f t="shared" si="12"/>
        <v>2000</v>
      </c>
      <c r="N114" t="s">
        <v>359</v>
      </c>
      <c r="AE114" s="170">
        <f t="shared" si="13"/>
        <v>1438041.6</v>
      </c>
      <c r="AG114" s="168">
        <f t="shared" si="14"/>
        <v>0.71902080000000002</v>
      </c>
      <c r="AI114" s="164">
        <v>0.3</v>
      </c>
      <c r="AJ114" s="171">
        <f t="shared" si="15"/>
        <v>5256000</v>
      </c>
      <c r="AL114">
        <v>20</v>
      </c>
      <c r="AM114" s="171">
        <f t="shared" si="16"/>
        <v>105120000</v>
      </c>
      <c r="AN114" s="171">
        <f t="shared" si="17"/>
        <v>52560000</v>
      </c>
      <c r="AX114" s="168">
        <v>13.68</v>
      </c>
    </row>
    <row r="115" spans="1:50">
      <c r="A115" s="95" t="str">
        <f t="shared" si="19"/>
        <v>\cite{White1998}</v>
      </c>
      <c r="B115" s="167" t="s">
        <v>444</v>
      </c>
      <c r="C115" s="156">
        <v>1998</v>
      </c>
      <c r="D115" s="157"/>
      <c r="E115" s="11">
        <f t="shared" si="11"/>
        <v>1998</v>
      </c>
      <c r="F115" s="185">
        <f>LOOKUP(E115,Total_wind_installed_capacity!$A$3:$A$28,Total_wind_installed_capacity!$H$3:$H$28)</f>
        <v>8.7342999999999993</v>
      </c>
      <c r="J115" s="170">
        <v>750</v>
      </c>
      <c r="K115">
        <v>1</v>
      </c>
      <c r="L115" s="188">
        <f t="shared" si="12"/>
        <v>750</v>
      </c>
      <c r="N115" t="s">
        <v>348</v>
      </c>
      <c r="AE115" s="170">
        <f t="shared" si="13"/>
        <v>613966.5</v>
      </c>
      <c r="AG115" s="168">
        <f t="shared" si="14"/>
        <v>0.81862199999999996</v>
      </c>
      <c r="AI115" s="164">
        <v>0.35</v>
      </c>
      <c r="AJ115" s="171">
        <f t="shared" si="15"/>
        <v>2299500</v>
      </c>
      <c r="AL115">
        <v>30</v>
      </c>
      <c r="AM115" s="171">
        <f t="shared" si="16"/>
        <v>68985000</v>
      </c>
      <c r="AN115" s="171">
        <f t="shared" si="17"/>
        <v>91980000</v>
      </c>
      <c r="AX115" s="168">
        <v>8.9</v>
      </c>
    </row>
    <row r="116" spans="1:50">
      <c r="A116" s="95" t="str">
        <f t="shared" si="19"/>
        <v>\cite{White1998}</v>
      </c>
      <c r="B116" s="167" t="s">
        <v>444</v>
      </c>
      <c r="C116" s="156">
        <v>1998</v>
      </c>
      <c r="D116" s="157"/>
      <c r="E116" s="11">
        <f t="shared" si="11"/>
        <v>1998</v>
      </c>
      <c r="F116" s="185">
        <f>LOOKUP(E116,Total_wind_installed_capacity!$A$3:$A$28,Total_wind_installed_capacity!$H$3:$H$28)</f>
        <v>8.7342999999999993</v>
      </c>
      <c r="J116" s="170">
        <v>342.5</v>
      </c>
      <c r="K116">
        <v>1</v>
      </c>
      <c r="L116" s="188">
        <f t="shared" si="12"/>
        <v>342.5</v>
      </c>
      <c r="N116" t="s">
        <v>348</v>
      </c>
      <c r="AE116" s="170">
        <f t="shared" si="13"/>
        <v>259225.92</v>
      </c>
      <c r="AG116" s="168">
        <f t="shared" si="14"/>
        <v>0.75686399999999998</v>
      </c>
      <c r="AI116" s="164">
        <v>0.24</v>
      </c>
      <c r="AJ116" s="171">
        <f t="shared" si="15"/>
        <v>720072</v>
      </c>
      <c r="AL116">
        <v>25</v>
      </c>
      <c r="AM116" s="171">
        <f t="shared" si="16"/>
        <v>18001800</v>
      </c>
      <c r="AN116" s="171">
        <f t="shared" si="17"/>
        <v>52560000</v>
      </c>
      <c r="AX116" s="168">
        <v>14.4</v>
      </c>
    </row>
    <row r="117" spans="1:50">
      <c r="A117" s="95" t="str">
        <f t="shared" si="19"/>
        <v>\cite{White1998}</v>
      </c>
      <c r="B117" s="167" t="s">
        <v>444</v>
      </c>
      <c r="C117" s="156">
        <v>1998</v>
      </c>
      <c r="D117" s="157"/>
      <c r="E117" s="11">
        <f t="shared" si="11"/>
        <v>1998</v>
      </c>
      <c r="F117" s="185">
        <f>LOOKUP(E117,Total_wind_installed_capacity!$A$3:$A$28,Total_wind_installed_capacity!$H$3:$H$28)</f>
        <v>8.7342999999999993</v>
      </c>
      <c r="J117" s="170">
        <v>600</v>
      </c>
      <c r="K117">
        <v>1</v>
      </c>
      <c r="L117" s="188">
        <f t="shared" si="12"/>
        <v>600</v>
      </c>
      <c r="N117" t="s">
        <v>348</v>
      </c>
      <c r="AE117" s="170">
        <f t="shared" si="13"/>
        <v>658261.43999999994</v>
      </c>
      <c r="AG117" s="168">
        <f t="shared" si="14"/>
        <v>1.0971024</v>
      </c>
      <c r="AI117" s="164">
        <v>0.31</v>
      </c>
      <c r="AJ117" s="171">
        <f t="shared" si="15"/>
        <v>1629360</v>
      </c>
      <c r="AL117">
        <v>20</v>
      </c>
      <c r="AM117" s="171">
        <f t="shared" si="16"/>
        <v>32587200</v>
      </c>
      <c r="AN117" s="171">
        <f t="shared" si="17"/>
        <v>54312000</v>
      </c>
      <c r="AX117" s="168">
        <v>20.2</v>
      </c>
    </row>
    <row r="118" spans="1:50">
      <c r="A118" s="95" t="str">
        <f t="shared" si="19"/>
        <v>\cite{White2000}</v>
      </c>
      <c r="B118" s="167" t="s">
        <v>444</v>
      </c>
      <c r="C118" s="156">
        <v>2000</v>
      </c>
      <c r="D118" s="157"/>
      <c r="E118" s="11">
        <f t="shared" si="11"/>
        <v>2000</v>
      </c>
      <c r="F118" s="185">
        <f>LOOKUP(E118,Total_wind_installed_capacity!$A$3:$A$28,Total_wind_installed_capacity!$H$3:$H$28)</f>
        <v>16.347073333333334</v>
      </c>
      <c r="J118" s="170">
        <v>342.5</v>
      </c>
      <c r="K118">
        <v>1</v>
      </c>
      <c r="L118" s="188">
        <f t="shared" si="12"/>
        <v>342.5</v>
      </c>
      <c r="N118" t="s">
        <v>348</v>
      </c>
      <c r="AE118" s="170">
        <f t="shared" si="13"/>
        <v>270027</v>
      </c>
      <c r="AG118" s="168">
        <f t="shared" si="14"/>
        <v>0.78839999999999999</v>
      </c>
      <c r="AI118" s="164">
        <v>0.24</v>
      </c>
      <c r="AJ118" s="171">
        <f t="shared" si="15"/>
        <v>720072</v>
      </c>
      <c r="AL118">
        <v>25</v>
      </c>
      <c r="AM118" s="171">
        <f t="shared" si="16"/>
        <v>18001800</v>
      </c>
      <c r="AN118" s="171">
        <f t="shared" si="17"/>
        <v>52560000</v>
      </c>
      <c r="AX118" s="168">
        <v>15</v>
      </c>
    </row>
    <row r="119" spans="1:50">
      <c r="A119" s="95" t="str">
        <f t="shared" si="19"/>
        <v>\cite{White2006}</v>
      </c>
      <c r="B119" s="167" t="s">
        <v>444</v>
      </c>
      <c r="C119" s="156">
        <v>2006</v>
      </c>
      <c r="D119" s="157"/>
      <c r="E119" s="11">
        <f t="shared" si="11"/>
        <v>2006</v>
      </c>
      <c r="F119" s="185">
        <f>LOOKUP(E119,Total_wind_installed_capacity!$A$3:$A$28,Total_wind_installed_capacity!$H$3:$H$28)</f>
        <v>71.980399999999989</v>
      </c>
      <c r="J119" s="170">
        <v>342.5</v>
      </c>
      <c r="K119">
        <v>1</v>
      </c>
      <c r="L119" s="188">
        <f t="shared" si="12"/>
        <v>342.5</v>
      </c>
      <c r="N119" t="s">
        <v>348</v>
      </c>
      <c r="AE119" s="170">
        <f t="shared" si="13"/>
        <v>268826.88</v>
      </c>
      <c r="AG119" s="168">
        <f t="shared" si="14"/>
        <v>0.78489599999999993</v>
      </c>
      <c r="AI119" s="164">
        <v>0.25600000000000001</v>
      </c>
      <c r="AJ119" s="171">
        <f t="shared" si="15"/>
        <v>768076.80000000005</v>
      </c>
      <c r="AL119">
        <v>25</v>
      </c>
      <c r="AM119" s="171">
        <f t="shared" si="16"/>
        <v>19201920</v>
      </c>
      <c r="AN119" s="171">
        <f t="shared" si="17"/>
        <v>56064000</v>
      </c>
      <c r="AX119" s="168">
        <v>14</v>
      </c>
    </row>
    <row r="120" spans="1:50">
      <c r="A120" s="95" t="str">
        <f t="shared" si="19"/>
        <v>\cite{White2006}</v>
      </c>
      <c r="B120" s="167" t="s">
        <v>444</v>
      </c>
      <c r="C120" s="156">
        <v>2006</v>
      </c>
      <c r="D120" s="157"/>
      <c r="E120" s="11">
        <f t="shared" si="11"/>
        <v>2006</v>
      </c>
      <c r="F120" s="185">
        <f>LOOKUP(E120,Total_wind_installed_capacity!$A$3:$A$28,Total_wind_installed_capacity!$H$3:$H$28)</f>
        <v>71.980399999999989</v>
      </c>
      <c r="J120" s="170">
        <v>750</v>
      </c>
      <c r="K120">
        <v>1</v>
      </c>
      <c r="L120" s="188">
        <f t="shared" si="12"/>
        <v>750</v>
      </c>
      <c r="N120" t="s">
        <v>348</v>
      </c>
      <c r="AE120" s="170">
        <f t="shared" si="13"/>
        <v>1014670.7999999999</v>
      </c>
      <c r="AG120" s="168">
        <f t="shared" si="14"/>
        <v>1.3528943999999998</v>
      </c>
      <c r="AI120" s="164">
        <v>0.28599999999999998</v>
      </c>
      <c r="AJ120" s="171">
        <f t="shared" si="15"/>
        <v>1879019.9999999998</v>
      </c>
      <c r="AL120">
        <v>30</v>
      </c>
      <c r="AM120" s="171">
        <f t="shared" si="16"/>
        <v>56370599.999999993</v>
      </c>
      <c r="AN120" s="171">
        <f t="shared" si="17"/>
        <v>75160799.999999985</v>
      </c>
      <c r="AX120" s="168">
        <v>18</v>
      </c>
    </row>
    <row r="121" spans="1:50">
      <c r="A121" s="95" t="str">
        <f t="shared" si="19"/>
        <v>\cite{White2006}</v>
      </c>
      <c r="B121" s="167" t="s">
        <v>444</v>
      </c>
      <c r="C121" s="156">
        <v>2006</v>
      </c>
      <c r="D121" s="157"/>
      <c r="E121" s="11">
        <f t="shared" si="11"/>
        <v>2006</v>
      </c>
      <c r="F121" s="185">
        <f>LOOKUP(E121,Total_wind_installed_capacity!$A$3:$A$28,Total_wind_installed_capacity!$H$3:$H$28)</f>
        <v>71.980399999999989</v>
      </c>
      <c r="J121" s="170">
        <v>600</v>
      </c>
      <c r="K121">
        <v>1</v>
      </c>
      <c r="L121" s="188">
        <f t="shared" si="12"/>
        <v>600</v>
      </c>
      <c r="N121" t="s">
        <v>348</v>
      </c>
      <c r="AE121" s="170">
        <f t="shared" si="13"/>
        <v>711241.92</v>
      </c>
      <c r="AG121" s="168">
        <f t="shared" si="14"/>
        <v>1.1854031999999999</v>
      </c>
      <c r="AI121" s="164">
        <v>0.19900000000000001</v>
      </c>
      <c r="AJ121" s="171">
        <f t="shared" si="15"/>
        <v>1045944</v>
      </c>
      <c r="AL121">
        <v>20</v>
      </c>
      <c r="AM121" s="171">
        <f t="shared" si="16"/>
        <v>20918880</v>
      </c>
      <c r="AN121" s="171">
        <f t="shared" si="17"/>
        <v>34864800</v>
      </c>
      <c r="AX121" s="168">
        <v>34</v>
      </c>
    </row>
    <row r="122" spans="1:50">
      <c r="A122" s="95" t="str">
        <f t="shared" si="19"/>
        <v>\cite{WEC2004}</v>
      </c>
      <c r="B122" s="160" t="s">
        <v>390</v>
      </c>
      <c r="C122" s="156">
        <v>2004</v>
      </c>
      <c r="D122" s="157"/>
      <c r="E122" s="11">
        <f t="shared" si="11"/>
        <v>2004</v>
      </c>
      <c r="F122" s="185">
        <f>LOOKUP(E122,Total_wind_installed_capacity!$A$3:$A$28,Total_wind_installed_capacity!$H$3:$H$28)</f>
        <v>46.3964675</v>
      </c>
      <c r="J122" s="170">
        <v>230</v>
      </c>
      <c r="K122">
        <v>1</v>
      </c>
      <c r="L122" s="188">
        <f t="shared" si="12"/>
        <v>230</v>
      </c>
      <c r="N122" t="s">
        <v>348</v>
      </c>
      <c r="AE122" s="170" t="e">
        <f t="shared" si="13"/>
        <v>#VALUE!</v>
      </c>
      <c r="AG122" s="168" t="e">
        <f t="shared" si="14"/>
        <v>#VALUE!</v>
      </c>
      <c r="AI122" s="164">
        <v>0.35</v>
      </c>
      <c r="AJ122" s="171">
        <f t="shared" si="15"/>
        <v>705180</v>
      </c>
      <c r="AL122" t="s">
        <v>455</v>
      </c>
      <c r="AM122" s="171" t="e">
        <f t="shared" si="16"/>
        <v>#VALUE!</v>
      </c>
      <c r="AN122" s="171" t="e">
        <f t="shared" si="17"/>
        <v>#VALUE!</v>
      </c>
      <c r="AX122" s="168">
        <v>8.1999999999999993</v>
      </c>
    </row>
    <row r="123" spans="1:50">
      <c r="A123" s="95" t="str">
        <f t="shared" si="19"/>
        <v>\cite{WEC2004}</v>
      </c>
      <c r="B123" s="156" t="s">
        <v>390</v>
      </c>
      <c r="C123" s="156">
        <v>2004</v>
      </c>
      <c r="D123" s="157"/>
      <c r="E123" s="11">
        <f t="shared" si="11"/>
        <v>2004</v>
      </c>
      <c r="F123" s="185">
        <f>LOOKUP(E123,Total_wind_installed_capacity!$A$3:$A$28,Total_wind_installed_capacity!$H$3:$H$28)</f>
        <v>46.3964675</v>
      </c>
      <c r="J123" s="170">
        <v>600</v>
      </c>
      <c r="K123">
        <v>1</v>
      </c>
      <c r="L123" s="188">
        <f t="shared" si="12"/>
        <v>600</v>
      </c>
      <c r="N123" t="s">
        <v>348</v>
      </c>
      <c r="AE123" s="170" t="e">
        <f t="shared" si="13"/>
        <v>#VALUE!</v>
      </c>
      <c r="AG123" s="168" t="e">
        <f t="shared" si="14"/>
        <v>#VALUE!</v>
      </c>
      <c r="AI123" s="164">
        <v>0.23</v>
      </c>
      <c r="AJ123" s="171">
        <f t="shared" si="15"/>
        <v>1208880</v>
      </c>
      <c r="AL123" t="s">
        <v>455</v>
      </c>
      <c r="AM123" s="171" t="e">
        <f t="shared" si="16"/>
        <v>#VALUE!</v>
      </c>
      <c r="AN123" s="171" t="e">
        <f t="shared" si="17"/>
        <v>#VALUE!</v>
      </c>
      <c r="AX123" s="168">
        <v>8.4</v>
      </c>
    </row>
    <row r="124" spans="1:50">
      <c r="A124" s="95" t="str">
        <f t="shared" si="19"/>
        <v>\cite{WEC2004}</v>
      </c>
      <c r="B124" s="160" t="s">
        <v>390</v>
      </c>
      <c r="C124" s="156">
        <v>2004</v>
      </c>
      <c r="D124" s="157"/>
      <c r="E124" s="11">
        <f t="shared" si="11"/>
        <v>2004</v>
      </c>
      <c r="F124" s="185">
        <f>LOOKUP(E124,Total_wind_installed_capacity!$A$3:$A$28,Total_wind_installed_capacity!$H$3:$H$28)</f>
        <v>46.3964675</v>
      </c>
      <c r="J124" s="170">
        <v>600</v>
      </c>
      <c r="K124">
        <v>1</v>
      </c>
      <c r="L124" s="188">
        <f t="shared" si="12"/>
        <v>600</v>
      </c>
      <c r="N124" t="s">
        <v>348</v>
      </c>
      <c r="AE124" s="170" t="e">
        <f t="shared" si="13"/>
        <v>#VALUE!</v>
      </c>
      <c r="AG124" s="168" t="e">
        <f t="shared" si="14"/>
        <v>#VALUE!</v>
      </c>
      <c r="AI124" s="164">
        <v>0.21</v>
      </c>
      <c r="AJ124" s="171">
        <f t="shared" si="15"/>
        <v>1103760</v>
      </c>
      <c r="AL124" t="s">
        <v>455</v>
      </c>
      <c r="AM124" s="171" t="e">
        <f t="shared" si="16"/>
        <v>#VALUE!</v>
      </c>
      <c r="AN124" s="171" t="e">
        <f t="shared" si="17"/>
        <v>#VALUE!</v>
      </c>
      <c r="AX124" s="168">
        <v>12.2</v>
      </c>
    </row>
    <row r="125" spans="1:50">
      <c r="A125" s="95" t="str">
        <f t="shared" si="19"/>
        <v>\cite{WEC2004}</v>
      </c>
      <c r="B125" s="160" t="s">
        <v>390</v>
      </c>
      <c r="C125" s="156">
        <v>2004</v>
      </c>
      <c r="D125" s="157"/>
      <c r="E125" s="11">
        <f t="shared" si="11"/>
        <v>2004</v>
      </c>
      <c r="F125" s="185">
        <f>LOOKUP(E125,Total_wind_installed_capacity!$A$3:$A$28,Total_wind_installed_capacity!$H$3:$H$28)</f>
        <v>46.3964675</v>
      </c>
      <c r="J125" s="170">
        <v>500</v>
      </c>
      <c r="K125">
        <v>1</v>
      </c>
      <c r="L125" s="188">
        <f t="shared" si="12"/>
        <v>500</v>
      </c>
      <c r="N125" t="s">
        <v>348</v>
      </c>
      <c r="AE125" s="170" t="e">
        <f t="shared" si="13"/>
        <v>#VALUE!</v>
      </c>
      <c r="AG125" s="168" t="e">
        <f t="shared" si="14"/>
        <v>#VALUE!</v>
      </c>
      <c r="AI125" s="164">
        <v>0.25</v>
      </c>
      <c r="AJ125" s="171">
        <f t="shared" si="15"/>
        <v>1095000</v>
      </c>
      <c r="AL125" t="s">
        <v>455</v>
      </c>
      <c r="AM125" s="171" t="e">
        <f t="shared" si="16"/>
        <v>#VALUE!</v>
      </c>
      <c r="AN125" s="171" t="e">
        <f t="shared" si="17"/>
        <v>#VALUE!</v>
      </c>
      <c r="AX125" s="168">
        <v>14.5</v>
      </c>
    </row>
    <row r="126" spans="1:50">
      <c r="A126" s="95" t="str">
        <f t="shared" si="19"/>
        <v>\cite{WEC2004}</v>
      </c>
      <c r="B126" s="160" t="s">
        <v>390</v>
      </c>
      <c r="C126" s="156">
        <v>2004</v>
      </c>
      <c r="D126" s="157"/>
      <c r="E126" s="11">
        <f t="shared" si="11"/>
        <v>2004</v>
      </c>
      <c r="F126" s="185">
        <f>LOOKUP(E126,Total_wind_installed_capacity!$A$3:$A$28,Total_wind_installed_capacity!$H$3:$H$28)</f>
        <v>46.3964675</v>
      </c>
      <c r="J126" s="170">
        <v>500</v>
      </c>
      <c r="K126">
        <v>1</v>
      </c>
      <c r="L126" s="188">
        <f t="shared" si="12"/>
        <v>500</v>
      </c>
      <c r="N126" t="s">
        <v>359</v>
      </c>
      <c r="AE126" s="170" t="e">
        <f t="shared" si="13"/>
        <v>#VALUE!</v>
      </c>
      <c r="AG126" s="168" t="e">
        <f t="shared" si="14"/>
        <v>#VALUE!</v>
      </c>
      <c r="AI126" s="164">
        <v>0.28999999999999998</v>
      </c>
      <c r="AJ126" s="171">
        <f t="shared" si="15"/>
        <v>1270200</v>
      </c>
      <c r="AL126" t="s">
        <v>455</v>
      </c>
      <c r="AM126" s="171" t="e">
        <f t="shared" si="16"/>
        <v>#VALUE!</v>
      </c>
      <c r="AN126" s="171" t="e">
        <f t="shared" si="17"/>
        <v>#VALUE!</v>
      </c>
      <c r="AX126" s="168">
        <v>22</v>
      </c>
    </row>
    <row r="127" spans="1:50">
      <c r="B127" s="160"/>
      <c r="C127" s="156"/>
      <c r="D127" s="157"/>
      <c r="E127" s="158"/>
      <c r="F127" s="159"/>
    </row>
    <row r="128" spans="1:50">
      <c r="B128" s="160"/>
      <c r="C128" s="156"/>
      <c r="D128" s="157"/>
      <c r="E128" s="158"/>
      <c r="F128" s="159"/>
    </row>
    <row r="129" spans="2:6">
      <c r="B129" s="160"/>
      <c r="C129" s="156"/>
      <c r="D129" s="157"/>
      <c r="E129" s="158"/>
      <c r="F129" s="159"/>
    </row>
    <row r="130" spans="2:6">
      <c r="B130" s="160"/>
      <c r="C130" s="156"/>
      <c r="D130" s="157"/>
      <c r="E130" s="158"/>
      <c r="F130" s="159"/>
    </row>
    <row r="131" spans="2:6">
      <c r="B131" s="160"/>
      <c r="C131" s="156"/>
      <c r="D131" s="157"/>
      <c r="E131" s="158"/>
      <c r="F131" s="159"/>
    </row>
    <row r="132" spans="2:6">
      <c r="B132" s="160"/>
      <c r="C132" s="156"/>
      <c r="D132" s="157"/>
      <c r="E132" s="158"/>
      <c r="F132" s="159"/>
    </row>
    <row r="133" spans="2:6">
      <c r="B133" s="156"/>
      <c r="C133" s="156"/>
      <c r="D133" s="157"/>
      <c r="E133" s="158"/>
      <c r="F133" s="159"/>
    </row>
    <row r="134" spans="2:6">
      <c r="B134" s="156"/>
      <c r="C134" s="156"/>
      <c r="D134" s="157"/>
      <c r="E134" s="158"/>
      <c r="F134" s="159"/>
    </row>
    <row r="135" spans="2:6">
      <c r="B135" s="156"/>
      <c r="C135" s="156"/>
      <c r="D135" s="157"/>
      <c r="E135" s="158"/>
      <c r="F135" s="159"/>
    </row>
    <row r="136" spans="2:6">
      <c r="B136" s="156"/>
      <c r="C136" s="156"/>
      <c r="D136" s="157"/>
      <c r="E136" s="158"/>
      <c r="F136" s="159"/>
    </row>
    <row r="137" spans="2:6">
      <c r="B137" s="156"/>
      <c r="C137" s="156"/>
      <c r="D137" s="157"/>
      <c r="E137" s="158"/>
      <c r="F137" s="159"/>
    </row>
    <row r="138" spans="2:6">
      <c r="B138" s="156"/>
      <c r="C138" s="156"/>
      <c r="D138" s="157"/>
      <c r="E138" s="158"/>
      <c r="F138" s="159"/>
    </row>
    <row r="139" spans="2:6">
      <c r="B139" s="156"/>
      <c r="C139" s="156"/>
      <c r="D139" s="157"/>
      <c r="E139" s="158"/>
      <c r="F139" s="159"/>
    </row>
    <row r="140" spans="2:6">
      <c r="B140" s="156"/>
      <c r="C140" s="156"/>
      <c r="D140" s="157"/>
      <c r="E140" s="158"/>
      <c r="F140" s="159"/>
    </row>
    <row r="141" spans="2:6">
      <c r="B141" s="156"/>
      <c r="C141" s="156"/>
      <c r="D141" s="157"/>
      <c r="E141" s="158"/>
      <c r="F141" s="159"/>
    </row>
    <row r="142" spans="2:6">
      <c r="B142" s="156"/>
      <c r="C142" s="156"/>
      <c r="D142" s="157"/>
      <c r="E142" s="158"/>
      <c r="F142" s="159"/>
    </row>
    <row r="143" spans="2:6">
      <c r="B143" s="156"/>
      <c r="C143" s="156"/>
      <c r="D143" s="157"/>
      <c r="E143" s="158"/>
      <c r="F143" s="159"/>
    </row>
    <row r="144" spans="2:6">
      <c r="B144" s="156"/>
      <c r="C144" s="156"/>
      <c r="D144" s="157"/>
      <c r="E144" s="158"/>
      <c r="F144" s="159"/>
    </row>
    <row r="145" spans="2:6">
      <c r="B145" s="156"/>
      <c r="C145" s="156"/>
      <c r="D145" s="157"/>
      <c r="E145" s="158"/>
      <c r="F145" s="159"/>
    </row>
    <row r="146" spans="2:6">
      <c r="B146" s="156"/>
      <c r="C146" s="156"/>
      <c r="D146" s="157"/>
      <c r="E146" s="158"/>
      <c r="F146" s="159"/>
    </row>
    <row r="147" spans="2:6">
      <c r="B147" s="156"/>
      <c r="C147" s="156"/>
      <c r="D147" s="157"/>
      <c r="E147" s="158"/>
      <c r="F147" s="159"/>
    </row>
    <row r="148" spans="2:6">
      <c r="B148" s="156"/>
      <c r="C148" s="156"/>
      <c r="D148" s="157"/>
      <c r="E148" s="158"/>
      <c r="F148" s="159"/>
    </row>
    <row r="149" spans="2:6">
      <c r="B149" s="156"/>
      <c r="C149" s="156"/>
      <c r="D149" s="157"/>
      <c r="E149" s="158"/>
      <c r="F149" s="159"/>
    </row>
    <row r="150" spans="2:6">
      <c r="B150" s="156"/>
      <c r="C150" s="156"/>
      <c r="D150" s="157"/>
      <c r="E150" s="158"/>
      <c r="F150" s="159"/>
    </row>
    <row r="151" spans="2:6">
      <c r="B151" s="156"/>
      <c r="C151" s="156"/>
      <c r="D151" s="157"/>
      <c r="E151" s="158"/>
      <c r="F151" s="159"/>
    </row>
    <row r="152" spans="2:6">
      <c r="B152" s="156"/>
      <c r="C152" s="156"/>
      <c r="D152" s="157"/>
      <c r="E152" s="158"/>
      <c r="F152" s="159"/>
    </row>
    <row r="153" spans="2:6">
      <c r="B153" s="156"/>
      <c r="C153" s="156"/>
      <c r="D153" s="157"/>
      <c r="E153" s="158"/>
      <c r="F153" s="159"/>
    </row>
    <row r="154" spans="2:6">
      <c r="B154" s="156"/>
      <c r="C154" s="156"/>
      <c r="D154" s="157"/>
      <c r="E154" s="158"/>
      <c r="F154" s="159"/>
    </row>
    <row r="155" spans="2:6">
      <c r="B155" s="156"/>
      <c r="C155" s="156"/>
      <c r="D155" s="157"/>
      <c r="E155" s="158"/>
      <c r="F155" s="159"/>
    </row>
    <row r="156" spans="2:6">
      <c r="B156" s="156"/>
      <c r="C156" s="156"/>
      <c r="D156" s="157"/>
      <c r="E156" s="158"/>
      <c r="F156" s="159"/>
    </row>
    <row r="157" spans="2:6">
      <c r="B157" s="156"/>
      <c r="C157" s="156"/>
      <c r="D157" s="157"/>
      <c r="E157" s="158"/>
      <c r="F157" s="159"/>
    </row>
    <row r="158" spans="2:6">
      <c r="B158" s="156"/>
      <c r="C158" s="156"/>
      <c r="D158" s="157"/>
      <c r="E158" s="158"/>
      <c r="F158" s="159"/>
    </row>
    <row r="159" spans="2:6">
      <c r="B159" s="156"/>
      <c r="C159" s="156"/>
      <c r="D159" s="157"/>
      <c r="E159" s="158"/>
      <c r="F159" s="159"/>
    </row>
    <row r="160" spans="2:6">
      <c r="B160" s="156"/>
      <c r="C160" s="156"/>
      <c r="D160" s="157"/>
      <c r="E160" s="158"/>
      <c r="F160" s="159"/>
    </row>
    <row r="161" spans="2:6">
      <c r="B161" s="156"/>
      <c r="C161" s="156"/>
      <c r="D161" s="157"/>
      <c r="E161" s="158"/>
      <c r="F161" s="159"/>
    </row>
    <row r="162" spans="2:6">
      <c r="B162" s="156"/>
      <c r="C162" s="156"/>
      <c r="D162" s="157"/>
      <c r="E162" s="158"/>
      <c r="F162" s="159"/>
    </row>
    <row r="163" spans="2:6">
      <c r="B163" s="156"/>
      <c r="C163" s="156"/>
      <c r="D163" s="157"/>
      <c r="E163" s="158"/>
      <c r="F163" s="159"/>
    </row>
    <row r="164" spans="2:6">
      <c r="B164" s="156"/>
      <c r="C164" s="156"/>
      <c r="D164" s="157"/>
      <c r="E164" s="158"/>
      <c r="F164" s="159"/>
    </row>
    <row r="165" spans="2:6">
      <c r="B165" s="156"/>
      <c r="C165" s="156"/>
      <c r="D165" s="157"/>
      <c r="E165" s="158"/>
      <c r="F165" s="159"/>
    </row>
    <row r="166" spans="2:6">
      <c r="B166" s="156"/>
      <c r="C166" s="156"/>
      <c r="D166" s="157"/>
      <c r="E166" s="158"/>
      <c r="F166" s="159"/>
    </row>
    <row r="167" spans="2:6">
      <c r="B167" s="156"/>
      <c r="C167" s="156"/>
      <c r="D167" s="157"/>
      <c r="E167" s="158"/>
      <c r="F167" s="159"/>
    </row>
    <row r="168" spans="2:6">
      <c r="B168" s="156"/>
      <c r="C168" s="156"/>
      <c r="D168" s="157"/>
      <c r="E168" s="158"/>
      <c r="F168" s="159"/>
    </row>
    <row r="169" spans="2:6">
      <c r="B169" s="156"/>
      <c r="C169" s="156"/>
      <c r="D169" s="157"/>
      <c r="E169" s="158"/>
      <c r="F169" s="159"/>
    </row>
    <row r="170" spans="2:6">
      <c r="B170" s="156"/>
      <c r="C170" s="156"/>
      <c r="D170" s="157"/>
      <c r="E170" s="158"/>
      <c r="F170" s="159"/>
    </row>
    <row r="171" spans="2:6">
      <c r="B171" s="156"/>
      <c r="C171" s="156"/>
      <c r="D171" s="157"/>
      <c r="E171" s="158"/>
      <c r="F171" s="159"/>
    </row>
    <row r="172" spans="2:6">
      <c r="B172" s="156"/>
      <c r="C172" s="156"/>
      <c r="D172" s="157"/>
      <c r="E172" s="158"/>
      <c r="F172" s="159"/>
    </row>
    <row r="173" spans="2:6">
      <c r="B173" s="156"/>
      <c r="C173" s="156"/>
      <c r="D173" s="157"/>
      <c r="E173" s="158"/>
      <c r="F173" s="159"/>
    </row>
    <row r="174" spans="2:6">
      <c r="B174" s="156"/>
      <c r="C174" s="156"/>
      <c r="D174" s="157"/>
      <c r="E174" s="158"/>
      <c r="F174" s="159"/>
    </row>
    <row r="175" spans="2:6">
      <c r="B175" s="156"/>
      <c r="C175" s="156"/>
      <c r="D175" s="157"/>
      <c r="E175" s="158"/>
      <c r="F175" s="159"/>
    </row>
    <row r="176" spans="2:6">
      <c r="B176" s="156"/>
      <c r="C176" s="156"/>
      <c r="D176" s="157"/>
      <c r="E176" s="158"/>
      <c r="F176" s="159"/>
    </row>
    <row r="177" spans="2:6">
      <c r="B177" s="156"/>
      <c r="C177" s="156"/>
      <c r="D177" s="157"/>
      <c r="E177" s="158"/>
      <c r="F177" s="159"/>
    </row>
    <row r="178" spans="2:6">
      <c r="B178" s="156"/>
      <c r="C178" s="156"/>
      <c r="D178" s="157"/>
      <c r="E178" s="158"/>
      <c r="F178" s="159"/>
    </row>
    <row r="179" spans="2:6">
      <c r="B179" s="156"/>
      <c r="C179" s="156"/>
      <c r="D179" s="157"/>
      <c r="E179" s="158"/>
      <c r="F179" s="159"/>
    </row>
    <row r="180" spans="2:6">
      <c r="B180" s="156"/>
      <c r="C180" s="156"/>
      <c r="D180" s="157"/>
      <c r="E180" s="158"/>
      <c r="F180" s="159"/>
    </row>
    <row r="181" spans="2:6">
      <c r="B181" s="156"/>
      <c r="C181" s="156"/>
      <c r="D181" s="157"/>
      <c r="E181" s="158"/>
      <c r="F181" s="159"/>
    </row>
    <row r="182" spans="2:6">
      <c r="B182" s="156"/>
      <c r="C182" s="156"/>
      <c r="D182" s="157"/>
      <c r="E182" s="158"/>
      <c r="F182" s="159"/>
    </row>
    <row r="183" spans="2:6">
      <c r="B183" s="156"/>
      <c r="C183" s="156"/>
      <c r="D183" s="157"/>
      <c r="E183" s="158"/>
      <c r="F183" s="159"/>
    </row>
    <row r="184" spans="2:6">
      <c r="B184" s="156"/>
      <c r="C184" s="156"/>
      <c r="D184" s="157"/>
      <c r="E184" s="158"/>
      <c r="F184" s="159"/>
    </row>
    <row r="185" spans="2:6">
      <c r="B185" s="156"/>
      <c r="C185" s="156"/>
      <c r="D185" s="157"/>
      <c r="E185" s="158"/>
      <c r="F185" s="159"/>
    </row>
    <row r="186" spans="2:6">
      <c r="B186" s="156"/>
      <c r="C186" s="156"/>
      <c r="D186" s="157"/>
      <c r="E186" s="158"/>
      <c r="F186" s="159"/>
    </row>
    <row r="187" spans="2:6">
      <c r="B187" s="156"/>
      <c r="C187" s="156"/>
      <c r="D187" s="157"/>
      <c r="E187" s="158"/>
      <c r="F187" s="159"/>
    </row>
    <row r="188" spans="2:6">
      <c r="B188" s="156"/>
      <c r="C188" s="156"/>
      <c r="D188" s="157"/>
      <c r="E188" s="158"/>
      <c r="F188" s="159"/>
    </row>
    <row r="189" spans="2:6">
      <c r="B189" s="156"/>
      <c r="C189" s="156"/>
      <c r="D189" s="157"/>
      <c r="E189" s="158"/>
      <c r="F189" s="159"/>
    </row>
    <row r="190" spans="2:6">
      <c r="B190" s="156"/>
      <c r="C190" s="156"/>
      <c r="D190" s="157"/>
      <c r="E190" s="158"/>
      <c r="F190" s="159"/>
    </row>
    <row r="191" spans="2:6">
      <c r="B191" s="156"/>
      <c r="C191" s="156"/>
      <c r="D191" s="157"/>
      <c r="E191" s="158"/>
      <c r="F191" s="159"/>
    </row>
    <row r="192" spans="2:6">
      <c r="B192" s="156"/>
      <c r="C192" s="156"/>
      <c r="D192" s="157"/>
      <c r="E192" s="158"/>
      <c r="F192" s="159"/>
    </row>
    <row r="193" spans="2:6">
      <c r="B193" s="156"/>
      <c r="C193" s="156"/>
      <c r="D193" s="157"/>
      <c r="E193" s="158"/>
      <c r="F193" s="159"/>
    </row>
    <row r="194" spans="2:6">
      <c r="B194" s="156"/>
      <c r="C194" s="156"/>
      <c r="D194" s="157"/>
      <c r="E194" s="158"/>
      <c r="F194" s="159"/>
    </row>
    <row r="195" spans="2:6">
      <c r="B195" s="156"/>
      <c r="C195" s="156"/>
      <c r="D195" s="157"/>
      <c r="E195" s="158"/>
      <c r="F195" s="159"/>
    </row>
    <row r="196" spans="2:6">
      <c r="B196" s="156"/>
      <c r="C196" s="156"/>
      <c r="D196" s="157"/>
      <c r="E196" s="158"/>
      <c r="F196" s="159"/>
    </row>
    <row r="197" spans="2:6">
      <c r="B197" s="156"/>
      <c r="C197" s="156"/>
      <c r="D197" s="157"/>
      <c r="E197" s="158"/>
      <c r="F197" s="159"/>
    </row>
    <row r="198" spans="2:6">
      <c r="B198" s="156"/>
      <c r="C198" s="156"/>
      <c r="D198" s="157"/>
      <c r="E198" s="158"/>
      <c r="F198" s="159"/>
    </row>
    <row r="199" spans="2:6">
      <c r="B199" s="156"/>
      <c r="C199" s="156"/>
      <c r="D199" s="157"/>
      <c r="E199" s="158"/>
      <c r="F199" s="159"/>
    </row>
    <row r="200" spans="2:6">
      <c r="B200" s="156"/>
      <c r="C200" s="156"/>
      <c r="D200" s="157"/>
      <c r="E200" s="158"/>
      <c r="F200" s="159"/>
    </row>
    <row r="201" spans="2:6">
      <c r="B201" s="156"/>
      <c r="C201" s="156"/>
      <c r="D201" s="157"/>
      <c r="E201" s="158"/>
      <c r="F201" s="159"/>
    </row>
    <row r="202" spans="2:6">
      <c r="B202" s="156"/>
      <c r="C202" s="156"/>
      <c r="D202" s="157"/>
      <c r="E202" s="158"/>
      <c r="F202" s="159"/>
    </row>
    <row r="203" spans="2:6">
      <c r="B203" s="156"/>
      <c r="C203" s="156"/>
      <c r="D203" s="157"/>
      <c r="E203" s="158"/>
      <c r="F203" s="159"/>
    </row>
    <row r="204" spans="2:6">
      <c r="B204" s="156"/>
      <c r="C204" s="156"/>
      <c r="D204" s="157"/>
      <c r="E204" s="158"/>
      <c r="F204" s="159"/>
    </row>
    <row r="205" spans="2:6">
      <c r="B205" s="156"/>
      <c r="C205" s="156"/>
      <c r="D205" s="157"/>
      <c r="E205" s="158"/>
      <c r="F205" s="159"/>
    </row>
    <row r="206" spans="2:6">
      <c r="B206" s="156"/>
      <c r="C206" s="156"/>
      <c r="D206" s="157"/>
      <c r="E206" s="158"/>
      <c r="F206" s="159"/>
    </row>
    <row r="207" spans="2:6">
      <c r="B207" s="156"/>
      <c r="C207" s="156"/>
      <c r="D207" s="157"/>
      <c r="E207" s="158"/>
      <c r="F207" s="159"/>
    </row>
    <row r="208" spans="2:6">
      <c r="B208" s="156"/>
      <c r="C208" s="156"/>
      <c r="D208" s="157"/>
      <c r="E208" s="158"/>
      <c r="F208" s="159"/>
    </row>
    <row r="209" spans="2:6">
      <c r="B209" s="156"/>
      <c r="C209" s="156"/>
      <c r="D209" s="157"/>
      <c r="E209" s="158"/>
      <c r="F209" s="159"/>
    </row>
    <row r="210" spans="2:6">
      <c r="B210" s="156"/>
      <c r="C210" s="156"/>
      <c r="D210" s="157"/>
      <c r="E210" s="158"/>
      <c r="F210" s="159"/>
    </row>
    <row r="211" spans="2:6">
      <c r="B211" s="156"/>
      <c r="C211" s="156"/>
      <c r="D211" s="157"/>
      <c r="E211" s="158"/>
      <c r="F211" s="159"/>
    </row>
    <row r="212" spans="2:6">
      <c r="B212" s="156"/>
      <c r="C212" s="156"/>
      <c r="D212" s="157"/>
      <c r="E212" s="158"/>
      <c r="F212" s="159"/>
    </row>
    <row r="213" spans="2:6">
      <c r="B213" s="156"/>
      <c r="C213" s="156"/>
      <c r="D213" s="157"/>
      <c r="E213" s="158"/>
      <c r="F213" s="159"/>
    </row>
    <row r="214" spans="2:6">
      <c r="B214" s="156"/>
      <c r="C214" s="156"/>
      <c r="D214" s="157"/>
      <c r="E214" s="158"/>
      <c r="F214" s="159"/>
    </row>
    <row r="215" spans="2:6">
      <c r="B215" s="156"/>
      <c r="C215" s="156"/>
      <c r="D215" s="157"/>
      <c r="E215" s="158"/>
      <c r="F215" s="159"/>
    </row>
    <row r="216" spans="2:6">
      <c r="B216" s="156"/>
      <c r="C216" s="156"/>
      <c r="D216" s="157"/>
      <c r="E216" s="158"/>
      <c r="F216" s="159"/>
    </row>
    <row r="217" spans="2:6">
      <c r="B217" s="156"/>
      <c r="C217" s="156"/>
      <c r="D217" s="157"/>
      <c r="E217" s="158"/>
      <c r="F217" s="159"/>
    </row>
    <row r="218" spans="2:6">
      <c r="B218" s="156"/>
      <c r="C218" s="156"/>
      <c r="D218" s="157"/>
      <c r="E218" s="158"/>
      <c r="F218" s="159"/>
    </row>
    <row r="219" spans="2:6">
      <c r="B219" s="156"/>
      <c r="C219" s="156"/>
      <c r="D219" s="157"/>
      <c r="E219" s="158"/>
      <c r="F219" s="159"/>
    </row>
    <row r="220" spans="2:6">
      <c r="B220" s="156"/>
      <c r="C220" s="156"/>
      <c r="D220" s="157"/>
      <c r="E220" s="158"/>
      <c r="F220" s="159"/>
    </row>
    <row r="221" spans="2:6">
      <c r="B221" s="156"/>
      <c r="C221" s="156"/>
      <c r="D221" s="157"/>
      <c r="E221" s="158"/>
      <c r="F221" s="159"/>
    </row>
    <row r="222" spans="2:6">
      <c r="B222" s="156"/>
      <c r="C222" s="156"/>
      <c r="D222" s="157"/>
      <c r="E222" s="158"/>
      <c r="F222" s="159"/>
    </row>
    <row r="223" spans="2:6">
      <c r="B223" s="156"/>
      <c r="C223" s="156"/>
      <c r="D223" s="157"/>
      <c r="E223" s="158"/>
      <c r="F223" s="159"/>
    </row>
    <row r="224" spans="2:6">
      <c r="B224" s="156"/>
      <c r="C224" s="156"/>
      <c r="D224" s="157"/>
      <c r="E224" s="158"/>
      <c r="F224" s="159"/>
    </row>
    <row r="225" spans="2:6">
      <c r="B225" s="156"/>
      <c r="C225" s="156"/>
      <c r="D225" s="157"/>
      <c r="E225" s="158"/>
      <c r="F225" s="159"/>
    </row>
    <row r="226" spans="2:6">
      <c r="B226" s="156"/>
      <c r="C226" s="156"/>
      <c r="D226" s="157"/>
      <c r="E226" s="158"/>
      <c r="F226" s="159"/>
    </row>
    <row r="227" spans="2:6">
      <c r="B227" s="156"/>
      <c r="C227" s="156"/>
      <c r="D227" s="157"/>
      <c r="E227" s="158"/>
      <c r="F227" s="159"/>
    </row>
    <row r="228" spans="2:6">
      <c r="B228" s="156"/>
      <c r="C228" s="156"/>
      <c r="D228" s="157"/>
      <c r="E228" s="158"/>
      <c r="F228" s="159"/>
    </row>
    <row r="229" spans="2:6">
      <c r="B229" s="156"/>
      <c r="C229" s="156"/>
      <c r="D229" s="157"/>
      <c r="E229" s="158"/>
      <c r="F229" s="159"/>
    </row>
    <row r="230" spans="2:6">
      <c r="B230" s="156"/>
      <c r="C230" s="156"/>
      <c r="D230" s="157"/>
      <c r="E230" s="158"/>
      <c r="F230" s="159"/>
    </row>
    <row r="231" spans="2:6">
      <c r="B231" s="156"/>
      <c r="C231" s="156"/>
      <c r="D231" s="157"/>
      <c r="E231" s="158"/>
      <c r="F231" s="159"/>
    </row>
    <row r="232" spans="2:6">
      <c r="B232" s="156"/>
      <c r="C232" s="156"/>
      <c r="D232" s="157"/>
      <c r="E232" s="158"/>
      <c r="F232" s="159"/>
    </row>
    <row r="233" spans="2:6">
      <c r="B233" s="156"/>
      <c r="C233" s="156"/>
      <c r="D233" s="157"/>
      <c r="E233" s="158"/>
      <c r="F233" s="159"/>
    </row>
    <row r="234" spans="2:6">
      <c r="B234" s="156"/>
      <c r="C234" s="156"/>
      <c r="D234" s="157"/>
      <c r="E234" s="158"/>
      <c r="F234" s="159"/>
    </row>
    <row r="235" spans="2:6">
      <c r="B235" s="156"/>
      <c r="C235" s="156"/>
      <c r="D235" s="157"/>
      <c r="E235" s="158"/>
      <c r="F235" s="159"/>
    </row>
    <row r="236" spans="2:6">
      <c r="B236" s="156"/>
      <c r="C236" s="156"/>
      <c r="D236" s="157"/>
      <c r="E236" s="158"/>
      <c r="F236" s="159"/>
    </row>
    <row r="237" spans="2:6">
      <c r="B237" s="156"/>
      <c r="C237" s="156"/>
      <c r="D237" s="157"/>
      <c r="E237" s="158"/>
      <c r="F237" s="159"/>
    </row>
    <row r="238" spans="2:6">
      <c r="B238" s="156"/>
      <c r="C238" s="156"/>
      <c r="D238" s="157"/>
      <c r="E238" s="158"/>
      <c r="F238" s="159"/>
    </row>
    <row r="239" spans="2:6">
      <c r="B239" s="156"/>
      <c r="C239" s="156"/>
      <c r="D239" s="157"/>
      <c r="E239" s="158"/>
      <c r="F239" s="159"/>
    </row>
    <row r="240" spans="2:6">
      <c r="B240" s="156"/>
      <c r="C240" s="156"/>
      <c r="D240" s="157"/>
      <c r="E240" s="158"/>
      <c r="F240" s="159"/>
    </row>
    <row r="241" spans="2:6">
      <c r="B241" s="156"/>
      <c r="C241" s="156"/>
      <c r="D241" s="157"/>
      <c r="E241" s="158"/>
      <c r="F241" s="159"/>
    </row>
    <row r="242" spans="2:6">
      <c r="B242" s="156"/>
      <c r="C242" s="156"/>
      <c r="D242" s="157"/>
      <c r="E242" s="158"/>
      <c r="F242" s="159"/>
    </row>
    <row r="243" spans="2:6">
      <c r="B243" s="156"/>
      <c r="C243" s="156"/>
      <c r="D243" s="157"/>
      <c r="E243" s="158"/>
      <c r="F243" s="159"/>
    </row>
    <row r="244" spans="2:6">
      <c r="B244" s="156"/>
      <c r="C244" s="156"/>
      <c r="D244" s="157"/>
      <c r="E244" s="158"/>
      <c r="F244" s="159"/>
    </row>
    <row r="245" spans="2:6">
      <c r="B245" s="156"/>
      <c r="C245" s="156"/>
      <c r="D245" s="157"/>
      <c r="E245" s="158"/>
      <c r="F245" s="159"/>
    </row>
    <row r="246" spans="2:6">
      <c r="B246" s="156"/>
      <c r="C246" s="156"/>
      <c r="D246" s="157"/>
      <c r="E246" s="158"/>
      <c r="F246" s="159"/>
    </row>
    <row r="247" spans="2:6">
      <c r="B247" s="156"/>
      <c r="C247" s="156"/>
      <c r="D247" s="157"/>
      <c r="E247" s="158"/>
      <c r="F247" s="159"/>
    </row>
    <row r="248" spans="2:6">
      <c r="B248" s="156"/>
      <c r="C248" s="156"/>
      <c r="D248" s="157"/>
      <c r="E248" s="158"/>
      <c r="F248" s="159"/>
    </row>
    <row r="249" spans="2:6">
      <c r="B249" s="156"/>
      <c r="C249" s="156"/>
      <c r="D249" s="157"/>
      <c r="E249" s="158"/>
      <c r="F249" s="159"/>
    </row>
    <row r="250" spans="2:6">
      <c r="B250" s="156"/>
      <c r="C250" s="156"/>
      <c r="D250" s="157"/>
      <c r="E250" s="158"/>
      <c r="F250" s="159"/>
    </row>
    <row r="251" spans="2:6">
      <c r="B251" s="156"/>
      <c r="C251" s="156"/>
      <c r="D251" s="157"/>
      <c r="E251" s="158"/>
      <c r="F251" s="159"/>
    </row>
    <row r="252" spans="2:6">
      <c r="B252" s="156"/>
      <c r="C252" s="156"/>
      <c r="D252" s="157"/>
      <c r="E252" s="158"/>
      <c r="F252" s="159"/>
    </row>
    <row r="253" spans="2:6">
      <c r="B253" s="156"/>
      <c r="C253" s="156"/>
      <c r="D253" s="157"/>
      <c r="E253" s="158"/>
      <c r="F253" s="159"/>
    </row>
    <row r="254" spans="2:6">
      <c r="B254" s="156"/>
      <c r="C254" s="156"/>
      <c r="D254" s="157"/>
      <c r="E254" s="158"/>
      <c r="F254" s="159"/>
    </row>
    <row r="255" spans="2:6">
      <c r="B255" s="156"/>
      <c r="C255" s="156"/>
      <c r="D255" s="157"/>
      <c r="E255" s="158"/>
      <c r="F255" s="159"/>
    </row>
    <row r="256" spans="2:6">
      <c r="B256" s="156"/>
      <c r="C256" s="156"/>
      <c r="D256" s="157"/>
      <c r="E256" s="158"/>
      <c r="F256" s="159"/>
    </row>
    <row r="257" spans="2:6">
      <c r="B257" s="156"/>
      <c r="C257" s="156"/>
      <c r="D257" s="157"/>
      <c r="E257" s="158"/>
      <c r="F257" s="159"/>
    </row>
    <row r="258" spans="2:6">
      <c r="B258" s="156"/>
      <c r="C258" s="156"/>
      <c r="D258" s="157"/>
      <c r="E258" s="158"/>
      <c r="F258" s="159"/>
    </row>
    <row r="259" spans="2:6">
      <c r="B259" s="160"/>
      <c r="C259" s="156"/>
      <c r="D259" s="157"/>
      <c r="E259" s="158"/>
      <c r="F259" s="159"/>
    </row>
    <row r="260" spans="2:6">
      <c r="B260" s="160"/>
      <c r="C260" s="156"/>
      <c r="D260" s="157"/>
      <c r="E260" s="158"/>
      <c r="F260" s="159"/>
    </row>
    <row r="261" spans="2:6">
      <c r="B261" s="160"/>
      <c r="C261" s="156"/>
      <c r="D261" s="157"/>
      <c r="E261" s="158"/>
      <c r="F261" s="159"/>
    </row>
    <row r="262" spans="2:6">
      <c r="B262" s="160"/>
      <c r="C262" s="156"/>
      <c r="D262" s="157"/>
      <c r="E262" s="158"/>
      <c r="F262" s="159"/>
    </row>
    <row r="263" spans="2:6">
      <c r="B263" s="160"/>
      <c r="C263" s="156"/>
      <c r="D263" s="157"/>
      <c r="E263" s="158"/>
      <c r="F263" s="159"/>
    </row>
    <row r="264" spans="2:6">
      <c r="B264" s="160"/>
      <c r="C264" s="156"/>
      <c r="D264" s="157"/>
      <c r="E264" s="158"/>
      <c r="F264" s="159"/>
    </row>
    <row r="265" spans="2:6">
      <c r="B265" s="160"/>
      <c r="C265" s="156"/>
      <c r="D265" s="157"/>
      <c r="E265" s="158"/>
      <c r="F265" s="159"/>
    </row>
    <row r="266" spans="2:6">
      <c r="B266" s="160"/>
      <c r="C266" s="156"/>
      <c r="D266" s="157"/>
      <c r="E266" s="158"/>
      <c r="F266" s="159"/>
    </row>
    <row r="267" spans="2:6">
      <c r="B267" s="160"/>
      <c r="C267" s="156"/>
      <c r="D267" s="157"/>
      <c r="E267" s="158"/>
      <c r="F267" s="159"/>
    </row>
    <row r="268" spans="2:6">
      <c r="B268" s="160"/>
      <c r="C268" s="156"/>
      <c r="D268" s="157"/>
      <c r="E268" s="158"/>
      <c r="F268" s="159"/>
    </row>
    <row r="269" spans="2:6">
      <c r="B269" s="160"/>
      <c r="C269" s="156"/>
      <c r="D269" s="157"/>
      <c r="E269" s="158"/>
      <c r="F269" s="159"/>
    </row>
    <row r="270" spans="2:6">
      <c r="B270" s="160"/>
      <c r="C270" s="156"/>
      <c r="D270" s="157"/>
      <c r="E270" s="158"/>
      <c r="F270" s="159"/>
    </row>
    <row r="271" spans="2:6">
      <c r="B271" s="160"/>
      <c r="C271" s="156"/>
      <c r="D271" s="157"/>
      <c r="E271" s="158"/>
      <c r="F271" s="159"/>
    </row>
    <row r="272" spans="2:6">
      <c r="B272" s="160"/>
      <c r="C272" s="156"/>
      <c r="D272" s="157"/>
      <c r="E272" s="158"/>
      <c r="F272" s="159"/>
    </row>
    <row r="273" spans="2:6">
      <c r="B273" s="160"/>
      <c r="C273" s="156"/>
      <c r="D273" s="157"/>
      <c r="E273" s="158"/>
      <c r="F273" s="159"/>
    </row>
    <row r="274" spans="2:6">
      <c r="B274" s="160"/>
      <c r="C274" s="156"/>
      <c r="D274" s="157"/>
      <c r="E274" s="158"/>
      <c r="F274" s="159"/>
    </row>
    <row r="275" spans="2:6">
      <c r="B275" s="160"/>
      <c r="C275" s="156"/>
      <c r="D275" s="157"/>
      <c r="E275" s="158"/>
      <c r="F275" s="159"/>
    </row>
    <row r="276" spans="2:6">
      <c r="B276" s="160"/>
      <c r="C276" s="156"/>
      <c r="D276" s="157"/>
      <c r="E276" s="158"/>
      <c r="F276" s="159"/>
    </row>
    <row r="277" spans="2:6">
      <c r="B277" s="160"/>
      <c r="C277" s="156"/>
      <c r="D277" s="157"/>
      <c r="E277" s="158"/>
      <c r="F277" s="159"/>
    </row>
    <row r="278" spans="2:6">
      <c r="B278" s="160"/>
      <c r="C278" s="156"/>
      <c r="D278" s="157"/>
      <c r="E278" s="158"/>
      <c r="F278" s="159"/>
    </row>
    <row r="279" spans="2:6">
      <c r="B279" s="160"/>
      <c r="C279" s="156"/>
      <c r="D279" s="157"/>
      <c r="E279" s="158"/>
      <c r="F279" s="159"/>
    </row>
    <row r="280" spans="2:6">
      <c r="B280" s="160"/>
      <c r="C280" s="156"/>
      <c r="D280" s="157"/>
      <c r="E280" s="158"/>
      <c r="F280" s="159"/>
    </row>
    <row r="281" spans="2:6">
      <c r="B281" s="156"/>
      <c r="C281" s="156"/>
      <c r="D281" s="157"/>
      <c r="E281" s="158"/>
      <c r="F281" s="159"/>
    </row>
    <row r="282" spans="2:6">
      <c r="B282" s="156"/>
      <c r="C282" s="156"/>
      <c r="D282" s="157"/>
      <c r="E282" s="158"/>
      <c r="F282" s="159"/>
    </row>
    <row r="283" spans="2:6">
      <c r="B283" s="156"/>
      <c r="C283" s="156"/>
      <c r="D283" s="157"/>
      <c r="E283" s="158"/>
      <c r="F283" s="159"/>
    </row>
    <row r="284" spans="2:6">
      <c r="B284" s="156"/>
      <c r="C284" s="156"/>
      <c r="D284" s="157"/>
      <c r="E284" s="158"/>
      <c r="F284" s="159"/>
    </row>
    <row r="285" spans="2:6">
      <c r="B285" s="156"/>
      <c r="C285" s="156"/>
      <c r="D285" s="157"/>
      <c r="E285" s="158"/>
      <c r="F285" s="159"/>
    </row>
    <row r="286" spans="2:6">
      <c r="B286" s="156"/>
      <c r="C286" s="156"/>
      <c r="D286" s="157"/>
      <c r="E286" s="158"/>
      <c r="F286" s="159"/>
    </row>
    <row r="287" spans="2:6">
      <c r="B287" s="156"/>
      <c r="C287" s="156"/>
      <c r="D287" s="157"/>
      <c r="E287" s="158"/>
      <c r="F287" s="159"/>
    </row>
    <row r="288" spans="2:6">
      <c r="B288" s="156"/>
      <c r="C288" s="156"/>
      <c r="D288" s="157"/>
      <c r="E288" s="158"/>
      <c r="F288" s="159"/>
    </row>
    <row r="289" spans="2:6">
      <c r="B289" s="156"/>
      <c r="C289" s="156"/>
      <c r="D289" s="157"/>
      <c r="E289" s="158"/>
      <c r="F289" s="159"/>
    </row>
    <row r="290" spans="2:6">
      <c r="B290" s="156"/>
      <c r="C290" s="156"/>
      <c r="D290" s="157"/>
      <c r="E290" s="158"/>
      <c r="F290" s="159"/>
    </row>
    <row r="291" spans="2:6">
      <c r="B291" s="156"/>
      <c r="C291" s="156"/>
      <c r="D291" s="157"/>
      <c r="E291" s="158"/>
      <c r="F291" s="159"/>
    </row>
    <row r="292" spans="2:6">
      <c r="B292" s="156"/>
      <c r="C292" s="156"/>
      <c r="D292" s="157"/>
      <c r="E292" s="158"/>
      <c r="F292" s="159"/>
    </row>
    <row r="293" spans="2:6">
      <c r="B293" s="156"/>
      <c r="C293" s="156"/>
      <c r="D293" s="157"/>
      <c r="E293" s="158"/>
      <c r="F293" s="159"/>
    </row>
    <row r="294" spans="2:6">
      <c r="B294" s="156"/>
      <c r="C294" s="156"/>
      <c r="D294" s="157"/>
      <c r="E294" s="158"/>
      <c r="F294" s="159"/>
    </row>
    <row r="295" spans="2:6">
      <c r="B295" s="156"/>
      <c r="C295" s="156"/>
      <c r="D295" s="157"/>
      <c r="E295" s="158"/>
      <c r="F295" s="159"/>
    </row>
    <row r="296" spans="2:6">
      <c r="B296" s="156"/>
      <c r="C296" s="156"/>
      <c r="D296" s="157"/>
      <c r="E296" s="158"/>
      <c r="F296" s="159"/>
    </row>
    <row r="297" spans="2:6">
      <c r="B297" s="156"/>
      <c r="C297" s="156"/>
      <c r="D297" s="157"/>
      <c r="E297" s="158"/>
      <c r="F297" s="159"/>
    </row>
    <row r="298" spans="2:6">
      <c r="B298" s="156"/>
      <c r="C298" s="156"/>
      <c r="D298" s="157"/>
      <c r="E298" s="158"/>
      <c r="F298" s="159"/>
    </row>
    <row r="299" spans="2:6">
      <c r="B299" s="156"/>
      <c r="C299" s="156"/>
      <c r="D299" s="157"/>
      <c r="E299" s="158"/>
      <c r="F299" s="159"/>
    </row>
    <row r="300" spans="2:6">
      <c r="B300" s="156"/>
      <c r="C300" s="156"/>
      <c r="D300" s="157"/>
      <c r="E300" s="158"/>
      <c r="F300" s="159"/>
    </row>
    <row r="301" spans="2:6">
      <c r="B301" s="156"/>
      <c r="C301" s="156"/>
      <c r="D301" s="157"/>
      <c r="E301" s="158"/>
      <c r="F301" s="159"/>
    </row>
    <row r="302" spans="2:6">
      <c r="B302" s="156"/>
      <c r="C302" s="156"/>
      <c r="D302" s="157"/>
      <c r="E302" s="158"/>
      <c r="F302" s="159"/>
    </row>
    <row r="303" spans="2:6">
      <c r="B303" s="156"/>
      <c r="C303" s="156"/>
      <c r="D303" s="157"/>
      <c r="E303" s="158"/>
      <c r="F303" s="159"/>
    </row>
    <row r="304" spans="2:6">
      <c r="B304" s="156"/>
      <c r="C304" s="156"/>
      <c r="D304" s="157"/>
      <c r="E304" s="158"/>
      <c r="F304" s="159"/>
    </row>
    <row r="305" spans="2:6">
      <c r="B305" s="156"/>
      <c r="C305" s="156"/>
      <c r="D305" s="157"/>
      <c r="E305" s="158"/>
      <c r="F305" s="159"/>
    </row>
    <row r="306" spans="2:6">
      <c r="B306" s="156"/>
      <c r="C306" s="156"/>
      <c r="D306" s="157"/>
      <c r="E306" s="158"/>
      <c r="F306" s="159"/>
    </row>
    <row r="307" spans="2:6">
      <c r="B307" s="156"/>
      <c r="C307" s="156"/>
      <c r="D307" s="157"/>
      <c r="E307" s="158"/>
      <c r="F307" s="159"/>
    </row>
    <row r="308" spans="2:6">
      <c r="B308" s="156"/>
      <c r="C308" s="156"/>
      <c r="D308" s="157"/>
      <c r="E308" s="158"/>
      <c r="F308" s="159"/>
    </row>
    <row r="309" spans="2:6">
      <c r="B309" s="156"/>
      <c r="C309" s="156"/>
      <c r="D309" s="157"/>
      <c r="E309" s="158"/>
      <c r="F309" s="159"/>
    </row>
    <row r="310" spans="2:6">
      <c r="B310" s="156"/>
      <c r="C310" s="156"/>
      <c r="D310" s="157"/>
      <c r="E310" s="158"/>
      <c r="F310" s="159"/>
    </row>
    <row r="311" spans="2:6">
      <c r="B311" s="156"/>
      <c r="C311" s="156"/>
      <c r="D311" s="157"/>
      <c r="E311" s="158"/>
      <c r="F311" s="159"/>
    </row>
    <row r="312" spans="2:6">
      <c r="B312" s="156"/>
      <c r="C312" s="156"/>
      <c r="D312" s="157"/>
      <c r="E312" s="158"/>
      <c r="F312" s="159"/>
    </row>
    <row r="313" spans="2:6">
      <c r="B313" s="156"/>
      <c r="C313" s="156"/>
      <c r="D313" s="157"/>
      <c r="E313" s="158"/>
      <c r="F313" s="159"/>
    </row>
    <row r="314" spans="2:6">
      <c r="B314" s="156"/>
      <c r="C314" s="156"/>
      <c r="D314" s="157"/>
      <c r="E314" s="158"/>
      <c r="F314" s="159"/>
    </row>
    <row r="315" spans="2:6">
      <c r="B315" s="156"/>
      <c r="C315" s="156"/>
      <c r="D315" s="157"/>
      <c r="E315" s="158"/>
      <c r="F315" s="159"/>
    </row>
    <row r="316" spans="2:6">
      <c r="B316" s="156"/>
      <c r="C316" s="156"/>
      <c r="D316" s="157"/>
      <c r="E316" s="158"/>
      <c r="F316" s="159"/>
    </row>
    <row r="317" spans="2:6">
      <c r="B317" s="156"/>
      <c r="C317" s="156"/>
      <c r="D317" s="157"/>
      <c r="E317" s="158"/>
      <c r="F317" s="159"/>
    </row>
    <row r="318" spans="2:6">
      <c r="B318" s="156"/>
      <c r="C318" s="156"/>
      <c r="D318" s="157"/>
      <c r="E318" s="158"/>
      <c r="F318" s="159"/>
    </row>
    <row r="319" spans="2:6">
      <c r="B319" s="156"/>
      <c r="C319" s="156"/>
      <c r="D319" s="157"/>
      <c r="E319" s="158"/>
      <c r="F319" s="159"/>
    </row>
    <row r="320" spans="2:6">
      <c r="B320" s="156"/>
      <c r="C320" s="156"/>
      <c r="D320" s="157"/>
      <c r="E320" s="158"/>
      <c r="F320" s="159"/>
    </row>
    <row r="321" spans="2:6">
      <c r="B321" s="156"/>
      <c r="C321" s="156"/>
      <c r="D321" s="157"/>
      <c r="E321" s="158"/>
      <c r="F321" s="159"/>
    </row>
    <row r="322" spans="2:6">
      <c r="B322" s="156"/>
      <c r="C322" s="156"/>
      <c r="D322" s="157"/>
      <c r="E322" s="158"/>
      <c r="F322" s="159"/>
    </row>
    <row r="323" spans="2:6">
      <c r="B323" s="156"/>
      <c r="C323" s="156"/>
      <c r="D323" s="157"/>
      <c r="E323" s="158"/>
      <c r="F323" s="159"/>
    </row>
    <row r="324" spans="2:6">
      <c r="B324" s="156"/>
      <c r="C324" s="156"/>
      <c r="D324" s="157"/>
      <c r="E324" s="158"/>
      <c r="F324" s="159"/>
    </row>
    <row r="325" spans="2:6">
      <c r="B325" s="156"/>
      <c r="C325" s="156"/>
      <c r="D325" s="157"/>
      <c r="E325" s="158"/>
      <c r="F325" s="159"/>
    </row>
    <row r="326" spans="2:6">
      <c r="B326" s="156"/>
      <c r="C326" s="156"/>
      <c r="D326" s="157"/>
      <c r="E326" s="158"/>
      <c r="F326" s="159"/>
    </row>
    <row r="327" spans="2:6">
      <c r="B327" s="156"/>
      <c r="C327" s="156"/>
      <c r="D327" s="157"/>
      <c r="E327" s="158"/>
      <c r="F327" s="159"/>
    </row>
    <row r="328" spans="2:6">
      <c r="B328" s="156"/>
      <c r="C328" s="156"/>
      <c r="D328" s="157"/>
      <c r="E328" s="158"/>
      <c r="F328" s="159"/>
    </row>
    <row r="329" spans="2:6">
      <c r="B329" s="156"/>
      <c r="C329" s="156"/>
      <c r="D329" s="157"/>
      <c r="E329" s="158"/>
      <c r="F329" s="159"/>
    </row>
    <row r="330" spans="2:6">
      <c r="B330" s="156"/>
      <c r="C330" s="156"/>
      <c r="D330" s="157"/>
      <c r="E330" s="158"/>
      <c r="F330" s="159"/>
    </row>
    <row r="331" spans="2:6">
      <c r="B331" s="156"/>
      <c r="C331" s="156"/>
      <c r="D331" s="157"/>
      <c r="E331" s="158"/>
      <c r="F331" s="159"/>
    </row>
    <row r="332" spans="2:6">
      <c r="B332" s="156"/>
      <c r="C332" s="156"/>
      <c r="D332" s="157"/>
      <c r="E332" s="158"/>
      <c r="F332" s="159"/>
    </row>
    <row r="333" spans="2:6">
      <c r="B333" s="156"/>
      <c r="C333" s="156"/>
      <c r="D333" s="157"/>
      <c r="E333" s="158"/>
      <c r="F333" s="159"/>
    </row>
    <row r="334" spans="2:6">
      <c r="B334" s="156"/>
      <c r="C334" s="156"/>
      <c r="D334" s="157"/>
      <c r="E334" s="158"/>
      <c r="F334" s="159"/>
    </row>
    <row r="335" spans="2:6">
      <c r="B335" s="156"/>
      <c r="C335" s="156"/>
      <c r="D335" s="157"/>
      <c r="E335" s="158"/>
      <c r="F335" s="159"/>
    </row>
    <row r="336" spans="2:6">
      <c r="B336" s="156"/>
      <c r="C336" s="156"/>
      <c r="D336" s="157"/>
      <c r="E336" s="158"/>
      <c r="F336" s="159"/>
    </row>
    <row r="337" spans="2:6">
      <c r="B337" s="156"/>
      <c r="C337" s="156"/>
      <c r="D337" s="157"/>
      <c r="E337" s="158"/>
      <c r="F337" s="159"/>
    </row>
    <row r="338" spans="2:6">
      <c r="B338" s="156"/>
      <c r="C338" s="156"/>
      <c r="D338" s="157"/>
      <c r="E338" s="158"/>
      <c r="F338" s="159"/>
    </row>
    <row r="339" spans="2:6">
      <c r="B339" s="156"/>
      <c r="C339" s="156"/>
      <c r="D339" s="157"/>
      <c r="E339" s="158"/>
      <c r="F339" s="159"/>
    </row>
    <row r="340" spans="2:6">
      <c r="B340" s="156"/>
      <c r="C340" s="156"/>
      <c r="D340" s="157"/>
      <c r="E340" s="158"/>
      <c r="F340" s="159"/>
    </row>
    <row r="341" spans="2:6">
      <c r="B341" s="156"/>
      <c r="C341" s="156"/>
      <c r="D341" s="157"/>
      <c r="E341" s="158"/>
      <c r="F341" s="159"/>
    </row>
    <row r="342" spans="2:6">
      <c r="B342" s="156"/>
      <c r="C342" s="156"/>
      <c r="D342" s="157"/>
      <c r="E342" s="158"/>
      <c r="F342" s="159"/>
    </row>
    <row r="343" spans="2:6">
      <c r="B343" s="156"/>
      <c r="C343" s="156"/>
      <c r="D343" s="157"/>
      <c r="E343" s="158"/>
      <c r="F343" s="159"/>
    </row>
    <row r="344" spans="2:6">
      <c r="B344" s="156"/>
      <c r="C344" s="156"/>
      <c r="D344" s="157"/>
      <c r="E344" s="158"/>
      <c r="F344" s="159"/>
    </row>
    <row r="345" spans="2:6">
      <c r="B345" s="156"/>
      <c r="C345" s="156"/>
      <c r="D345" s="157"/>
      <c r="E345" s="158"/>
      <c r="F345" s="159"/>
    </row>
    <row r="346" spans="2:6">
      <c r="B346" s="156"/>
      <c r="C346" s="156"/>
      <c r="D346" s="157"/>
      <c r="E346" s="158"/>
      <c r="F346" s="159"/>
    </row>
    <row r="347" spans="2:6">
      <c r="B347" s="156"/>
      <c r="C347" s="156"/>
      <c r="D347" s="157"/>
      <c r="E347" s="158"/>
      <c r="F347" s="159"/>
    </row>
    <row r="348" spans="2:6">
      <c r="B348" s="156"/>
      <c r="C348" s="156"/>
      <c r="D348" s="157"/>
      <c r="E348" s="158"/>
      <c r="F348" s="159"/>
    </row>
    <row r="349" spans="2:6">
      <c r="B349" s="156"/>
      <c r="C349" s="156"/>
      <c r="D349" s="157"/>
      <c r="E349" s="158"/>
      <c r="F349" s="159"/>
    </row>
    <row r="350" spans="2:6">
      <c r="B350" s="156"/>
      <c r="C350" s="156"/>
      <c r="D350" s="157"/>
      <c r="E350" s="158"/>
      <c r="F350" s="159"/>
    </row>
    <row r="351" spans="2:6">
      <c r="B351" s="156"/>
      <c r="C351" s="156"/>
      <c r="D351" s="157"/>
      <c r="E351" s="158"/>
      <c r="F351" s="159"/>
    </row>
    <row r="352" spans="2:6">
      <c r="B352" s="156"/>
      <c r="C352" s="156"/>
      <c r="D352" s="157"/>
      <c r="E352" s="158"/>
      <c r="F352" s="159"/>
    </row>
    <row r="353" spans="2:6">
      <c r="B353" s="156"/>
      <c r="C353" s="156"/>
      <c r="D353" s="157"/>
      <c r="E353" s="158"/>
      <c r="F353" s="159"/>
    </row>
    <row r="354" spans="2:6">
      <c r="B354" s="156"/>
      <c r="C354" s="156"/>
      <c r="D354" s="157"/>
      <c r="E354" s="158"/>
      <c r="F354" s="159"/>
    </row>
    <row r="355" spans="2:6">
      <c r="B355" s="156"/>
      <c r="C355" s="156"/>
      <c r="D355" s="157"/>
      <c r="E355" s="158"/>
      <c r="F355" s="159"/>
    </row>
    <row r="356" spans="2:6">
      <c r="B356" s="156"/>
      <c r="C356" s="156"/>
      <c r="D356" s="157"/>
      <c r="E356" s="158"/>
      <c r="F356" s="159"/>
    </row>
    <row r="357" spans="2:6">
      <c r="B357" s="156"/>
      <c r="C357" s="156"/>
      <c r="D357" s="157"/>
      <c r="E357" s="158"/>
      <c r="F357" s="159"/>
    </row>
    <row r="358" spans="2:6">
      <c r="B358" s="156"/>
      <c r="C358" s="156"/>
      <c r="D358" s="157"/>
      <c r="E358" s="158"/>
      <c r="F358" s="159"/>
    </row>
    <row r="359" spans="2:6">
      <c r="B359" s="156"/>
      <c r="C359" s="156"/>
      <c r="D359" s="157"/>
      <c r="E359" s="158"/>
      <c r="F359" s="159"/>
    </row>
    <row r="360" spans="2:6">
      <c r="B360" s="156"/>
      <c r="C360" s="156"/>
      <c r="D360" s="157"/>
      <c r="E360" s="158"/>
      <c r="F360" s="159"/>
    </row>
    <row r="361" spans="2:6">
      <c r="B361" s="156"/>
      <c r="C361" s="156"/>
      <c r="D361" s="157"/>
      <c r="E361" s="158"/>
      <c r="F361" s="159"/>
    </row>
    <row r="362" spans="2:6">
      <c r="B362" s="156"/>
      <c r="C362" s="156"/>
      <c r="D362" s="157"/>
      <c r="E362" s="158"/>
      <c r="F362" s="159"/>
    </row>
    <row r="363" spans="2:6">
      <c r="B363" s="156"/>
      <c r="C363" s="156"/>
      <c r="D363" s="157"/>
      <c r="E363" s="158"/>
      <c r="F363" s="159"/>
    </row>
    <row r="364" spans="2:6">
      <c r="B364" s="156"/>
      <c r="C364" s="156"/>
      <c r="D364" s="157"/>
      <c r="E364" s="158"/>
      <c r="F364" s="159"/>
    </row>
    <row r="365" spans="2:6">
      <c r="B365" s="156"/>
      <c r="C365" s="156"/>
      <c r="D365" s="157"/>
      <c r="E365" s="158"/>
      <c r="F365" s="159"/>
    </row>
    <row r="366" spans="2:6">
      <c r="B366" s="156"/>
      <c r="C366" s="156"/>
      <c r="D366" s="157"/>
      <c r="E366" s="158"/>
      <c r="F366" s="159"/>
    </row>
    <row r="367" spans="2:6">
      <c r="B367" s="156"/>
      <c r="C367" s="156"/>
      <c r="D367" s="157"/>
      <c r="E367" s="158"/>
      <c r="F367" s="159"/>
    </row>
    <row r="368" spans="2:6">
      <c r="B368" s="156"/>
      <c r="C368" s="156"/>
      <c r="D368" s="157"/>
      <c r="E368" s="158"/>
      <c r="F368" s="159"/>
    </row>
    <row r="369" spans="2:6">
      <c r="B369" s="156"/>
      <c r="C369" s="156"/>
      <c r="D369" s="157"/>
      <c r="E369" s="158"/>
      <c r="F369" s="159"/>
    </row>
    <row r="370" spans="2:6">
      <c r="B370" s="156"/>
      <c r="C370" s="156"/>
      <c r="D370" s="157"/>
      <c r="E370" s="158"/>
      <c r="F370" s="159"/>
    </row>
    <row r="371" spans="2:6">
      <c r="B371" s="156"/>
      <c r="C371" s="156"/>
      <c r="D371" s="157"/>
      <c r="E371" s="158"/>
      <c r="F371" s="159"/>
    </row>
    <row r="372" spans="2:6">
      <c r="B372" s="156"/>
      <c r="C372" s="156"/>
      <c r="D372" s="157"/>
      <c r="E372" s="158"/>
      <c r="F372" s="159"/>
    </row>
    <row r="373" spans="2:6">
      <c r="B373" s="156"/>
      <c r="C373" s="156"/>
      <c r="D373" s="157"/>
      <c r="E373" s="158"/>
      <c r="F373" s="159"/>
    </row>
    <row r="374" spans="2:6">
      <c r="B374" s="156"/>
      <c r="C374" s="156"/>
      <c r="D374" s="157"/>
      <c r="E374" s="158"/>
      <c r="F374" s="159"/>
    </row>
    <row r="375" spans="2:6">
      <c r="B375" s="156"/>
      <c r="C375" s="156"/>
      <c r="D375" s="157"/>
      <c r="E375" s="158"/>
      <c r="F375" s="159"/>
    </row>
    <row r="376" spans="2:6">
      <c r="B376" s="156"/>
      <c r="C376" s="156"/>
      <c r="D376" s="157"/>
      <c r="E376" s="158"/>
      <c r="F376" s="159"/>
    </row>
    <row r="377" spans="2:6">
      <c r="B377" s="156"/>
      <c r="C377" s="156"/>
      <c r="D377" s="157"/>
      <c r="E377" s="158"/>
      <c r="F377" s="159"/>
    </row>
    <row r="378" spans="2:6">
      <c r="B378" s="156"/>
      <c r="C378" s="156"/>
      <c r="D378" s="157"/>
      <c r="E378" s="158"/>
      <c r="F378" s="159"/>
    </row>
    <row r="379" spans="2:6">
      <c r="B379" s="156"/>
      <c r="C379" s="156"/>
      <c r="D379" s="157"/>
      <c r="E379" s="158"/>
      <c r="F379" s="159"/>
    </row>
    <row r="380" spans="2:6">
      <c r="B380" s="156"/>
      <c r="C380" s="156"/>
      <c r="D380" s="157"/>
      <c r="E380" s="158"/>
      <c r="F380" s="159"/>
    </row>
    <row r="381" spans="2:6">
      <c r="B381" s="156"/>
      <c r="C381" s="156"/>
      <c r="D381" s="157"/>
      <c r="E381" s="158"/>
      <c r="F381" s="159"/>
    </row>
    <row r="382" spans="2:6">
      <c r="B382" s="156"/>
      <c r="C382" s="156"/>
      <c r="D382" s="157"/>
      <c r="E382" s="158"/>
      <c r="F382" s="159"/>
    </row>
    <row r="383" spans="2:6">
      <c r="B383" s="156"/>
      <c r="C383" s="156"/>
      <c r="D383" s="157"/>
      <c r="E383" s="158"/>
      <c r="F383" s="159"/>
    </row>
    <row r="384" spans="2:6">
      <c r="B384" s="156"/>
      <c r="C384" s="156"/>
      <c r="D384" s="157"/>
      <c r="E384" s="158"/>
      <c r="F384" s="159"/>
    </row>
    <row r="385" spans="2:6">
      <c r="B385" s="156"/>
      <c r="C385" s="156"/>
      <c r="D385" s="157"/>
      <c r="E385" s="158"/>
      <c r="F385" s="159"/>
    </row>
    <row r="386" spans="2:6">
      <c r="B386" s="156"/>
      <c r="C386" s="156"/>
      <c r="D386" s="157"/>
      <c r="E386" s="158"/>
      <c r="F386" s="159"/>
    </row>
    <row r="387" spans="2:6">
      <c r="B387" s="156"/>
      <c r="C387" s="156"/>
      <c r="D387" s="157"/>
      <c r="E387" s="158"/>
      <c r="F387" s="159"/>
    </row>
    <row r="388" spans="2:6">
      <c r="B388" s="156"/>
      <c r="C388" s="156"/>
      <c r="D388" s="157"/>
      <c r="E388" s="158"/>
      <c r="F388" s="159"/>
    </row>
    <row r="389" spans="2:6">
      <c r="B389" s="156"/>
      <c r="C389" s="156"/>
      <c r="D389" s="157"/>
      <c r="E389" s="158"/>
      <c r="F389" s="159"/>
    </row>
    <row r="390" spans="2:6">
      <c r="B390" s="160"/>
      <c r="C390" s="156"/>
      <c r="D390" s="157"/>
      <c r="E390" s="158"/>
      <c r="F390" s="159"/>
    </row>
    <row r="391" spans="2:6">
      <c r="B391" s="160"/>
      <c r="C391" s="156"/>
      <c r="D391" s="157"/>
      <c r="E391" s="158"/>
      <c r="F391" s="159"/>
    </row>
    <row r="392" spans="2:6">
      <c r="B392" s="160"/>
      <c r="C392" s="156"/>
      <c r="D392" s="157"/>
      <c r="E392" s="158"/>
      <c r="F392" s="159"/>
    </row>
    <row r="393" spans="2:6">
      <c r="B393" s="160"/>
      <c r="C393" s="156"/>
      <c r="D393" s="157"/>
      <c r="E393" s="158"/>
      <c r="F393" s="159"/>
    </row>
    <row r="394" spans="2:6">
      <c r="B394" s="160"/>
      <c r="C394" s="156"/>
      <c r="D394" s="157"/>
      <c r="E394" s="158"/>
      <c r="F394" s="159"/>
    </row>
    <row r="395" spans="2:6">
      <c r="B395" s="156"/>
      <c r="C395" s="156"/>
      <c r="D395" s="157"/>
      <c r="E395" s="158"/>
      <c r="F395" s="159"/>
    </row>
    <row r="396" spans="2:6">
      <c r="B396" s="156"/>
      <c r="C396" s="156"/>
      <c r="D396" s="157"/>
      <c r="E396" s="158"/>
      <c r="F396" s="159"/>
    </row>
    <row r="397" spans="2:6">
      <c r="B397" s="156"/>
      <c r="C397" s="156"/>
      <c r="D397" s="157"/>
      <c r="E397" s="158"/>
      <c r="F397" s="159"/>
    </row>
    <row r="398" spans="2:6">
      <c r="B398" s="156"/>
      <c r="C398" s="156"/>
      <c r="D398" s="157"/>
      <c r="E398" s="158"/>
      <c r="F398" s="159"/>
    </row>
    <row r="399" spans="2:6">
      <c r="B399" s="156"/>
      <c r="C399" s="156"/>
      <c r="D399" s="157"/>
      <c r="E399" s="158"/>
      <c r="F399" s="159"/>
    </row>
    <row r="400" spans="2:6">
      <c r="B400" s="156"/>
      <c r="C400" s="156"/>
      <c r="D400" s="157"/>
      <c r="E400" s="158"/>
      <c r="F400" s="159"/>
    </row>
    <row r="401" spans="2:6">
      <c r="B401" s="156"/>
      <c r="C401" s="156"/>
      <c r="D401" s="157"/>
      <c r="E401" s="158"/>
      <c r="F401" s="159"/>
    </row>
    <row r="402" spans="2:6">
      <c r="B402" s="156"/>
      <c r="C402" s="156"/>
      <c r="D402" s="157"/>
      <c r="E402" s="158"/>
      <c r="F402" s="159"/>
    </row>
    <row r="403" spans="2:6">
      <c r="B403" s="156"/>
      <c r="C403" s="156"/>
      <c r="D403" s="157"/>
      <c r="E403" s="158"/>
      <c r="F403" s="159"/>
    </row>
    <row r="404" spans="2:6">
      <c r="B404" s="156"/>
      <c r="C404" s="156"/>
      <c r="D404" s="157"/>
      <c r="E404" s="158"/>
      <c r="F404" s="159"/>
    </row>
    <row r="405" spans="2:6">
      <c r="B405" s="156"/>
      <c r="C405" s="156"/>
      <c r="D405" s="157"/>
      <c r="E405" s="158"/>
      <c r="F405" s="159"/>
    </row>
    <row r="406" spans="2:6">
      <c r="B406" s="160"/>
      <c r="C406" s="156"/>
      <c r="D406" s="157"/>
      <c r="E406" s="158"/>
      <c r="F406" s="159"/>
    </row>
    <row r="407" spans="2:6">
      <c r="B407" s="160"/>
      <c r="C407" s="156"/>
      <c r="D407" s="157"/>
      <c r="E407" s="158"/>
      <c r="F407" s="159"/>
    </row>
    <row r="408" spans="2:6">
      <c r="B408" s="161"/>
      <c r="C408" s="161"/>
      <c r="D408" s="157"/>
      <c r="E408" s="158"/>
      <c r="F408" s="159"/>
    </row>
    <row r="409" spans="2:6">
      <c r="B409" s="156"/>
      <c r="C409" s="156"/>
      <c r="D409" s="157"/>
      <c r="E409" s="158"/>
      <c r="F409" s="159"/>
    </row>
    <row r="410" spans="2:6">
      <c r="B410" s="156"/>
      <c r="C410" s="156"/>
      <c r="D410" s="157"/>
      <c r="E410" s="158"/>
      <c r="F410" s="159"/>
    </row>
    <row r="411" spans="2:6">
      <c r="B411" s="156"/>
      <c r="C411" s="156"/>
      <c r="D411" s="157"/>
      <c r="E411" s="158"/>
      <c r="F411" s="159"/>
    </row>
    <row r="412" spans="2:6">
      <c r="B412" s="156"/>
      <c r="C412" s="156"/>
      <c r="D412" s="157"/>
      <c r="E412" s="158"/>
      <c r="F412" s="159"/>
    </row>
    <row r="413" spans="2:6">
      <c r="B413" s="156"/>
      <c r="C413" s="156"/>
      <c r="D413" s="157"/>
      <c r="E413" s="158"/>
      <c r="F413" s="159"/>
    </row>
    <row r="414" spans="2:6">
      <c r="B414" s="156"/>
      <c r="C414" s="156"/>
      <c r="D414" s="157"/>
      <c r="E414" s="158"/>
      <c r="F414" s="159"/>
    </row>
    <row r="415" spans="2:6">
      <c r="B415" s="156"/>
      <c r="C415" s="156"/>
      <c r="D415" s="157"/>
      <c r="E415" s="158"/>
      <c r="F415" s="159"/>
    </row>
    <row r="416" spans="2:6">
      <c r="B416" s="156"/>
      <c r="C416" s="156"/>
      <c r="D416" s="157"/>
      <c r="E416" s="158"/>
      <c r="F416" s="159"/>
    </row>
    <row r="417" spans="2:6">
      <c r="B417" s="156"/>
      <c r="C417" s="156"/>
      <c r="D417" s="157"/>
      <c r="E417" s="158"/>
      <c r="F417" s="159"/>
    </row>
    <row r="418" spans="2:6">
      <c r="B418" s="156"/>
      <c r="C418" s="156"/>
      <c r="D418" s="157"/>
      <c r="E418" s="158"/>
      <c r="F418" s="159"/>
    </row>
    <row r="419" spans="2:6">
      <c r="B419" s="156"/>
      <c r="C419" s="156"/>
      <c r="D419" s="157"/>
      <c r="E419" s="158"/>
      <c r="F419" s="159"/>
    </row>
    <row r="420" spans="2:6">
      <c r="B420" s="156"/>
      <c r="C420" s="156"/>
      <c r="D420" s="157"/>
      <c r="E420" s="158"/>
      <c r="F420" s="159"/>
    </row>
    <row r="421" spans="2:6">
      <c r="B421" s="156"/>
      <c r="C421" s="156"/>
      <c r="D421" s="157"/>
      <c r="E421" s="158"/>
      <c r="F421" s="159"/>
    </row>
    <row r="422" spans="2:6">
      <c r="B422" s="156"/>
      <c r="C422" s="156"/>
      <c r="D422" s="157"/>
      <c r="E422" s="158"/>
      <c r="F422" s="159"/>
    </row>
    <row r="423" spans="2:6">
      <c r="B423" s="156"/>
      <c r="C423" s="156"/>
      <c r="D423" s="157"/>
      <c r="E423" s="158"/>
      <c r="F423" s="159"/>
    </row>
    <row r="424" spans="2:6">
      <c r="B424" s="156"/>
      <c r="C424" s="156"/>
      <c r="D424" s="157"/>
      <c r="E424" s="158"/>
      <c r="F424" s="159"/>
    </row>
    <row r="425" spans="2:6">
      <c r="B425" s="156"/>
      <c r="C425" s="156"/>
      <c r="D425" s="157"/>
      <c r="E425" s="158"/>
      <c r="F425" s="159"/>
    </row>
    <row r="426" spans="2:6">
      <c r="B426" s="156"/>
      <c r="C426" s="156"/>
      <c r="D426" s="157"/>
      <c r="E426" s="158"/>
      <c r="F426" s="159"/>
    </row>
    <row r="427" spans="2:6">
      <c r="B427" s="156"/>
      <c r="C427" s="156"/>
      <c r="D427" s="157"/>
      <c r="E427" s="158"/>
      <c r="F427" s="159"/>
    </row>
    <row r="428" spans="2:6">
      <c r="B428" s="156"/>
      <c r="C428" s="156"/>
      <c r="D428" s="157"/>
      <c r="E428" s="158"/>
      <c r="F428" s="159"/>
    </row>
    <row r="429" spans="2:6">
      <c r="B429" s="156"/>
      <c r="C429" s="156"/>
      <c r="D429" s="157"/>
      <c r="E429" s="158"/>
      <c r="F429" s="159"/>
    </row>
    <row r="430" spans="2:6">
      <c r="B430" s="156"/>
      <c r="C430" s="156"/>
      <c r="D430" s="157"/>
      <c r="E430" s="158"/>
      <c r="F430" s="159"/>
    </row>
    <row r="431" spans="2:6">
      <c r="B431" s="156"/>
      <c r="C431" s="156"/>
      <c r="D431" s="157"/>
      <c r="E431" s="158"/>
      <c r="F431" s="159"/>
    </row>
    <row r="432" spans="2:6">
      <c r="B432" s="156"/>
      <c r="C432" s="156"/>
      <c r="D432" s="157"/>
      <c r="E432" s="158"/>
      <c r="F432" s="159"/>
    </row>
    <row r="433" spans="2:6">
      <c r="B433" s="156"/>
      <c r="C433" s="156"/>
      <c r="D433" s="157"/>
      <c r="E433" s="158"/>
      <c r="F433" s="159"/>
    </row>
    <row r="434" spans="2:6">
      <c r="B434" s="156"/>
      <c r="C434" s="156"/>
      <c r="D434" s="157"/>
      <c r="E434" s="158"/>
      <c r="F434" s="159"/>
    </row>
    <row r="435" spans="2:6">
      <c r="B435" s="156"/>
      <c r="C435" s="156"/>
      <c r="D435" s="157"/>
      <c r="E435" s="158"/>
      <c r="F435" s="159"/>
    </row>
    <row r="436" spans="2:6">
      <c r="B436" s="156"/>
      <c r="C436" s="156"/>
      <c r="D436" s="157"/>
      <c r="E436" s="158"/>
      <c r="F436" s="159"/>
    </row>
    <row r="437" spans="2:6">
      <c r="B437" s="156"/>
      <c r="C437" s="156"/>
      <c r="D437" s="157"/>
      <c r="E437" s="158"/>
      <c r="F437" s="159"/>
    </row>
    <row r="438" spans="2:6">
      <c r="B438" s="156"/>
      <c r="C438" s="156"/>
      <c r="D438" s="157"/>
      <c r="E438" s="158"/>
      <c r="F438" s="159"/>
    </row>
    <row r="439" spans="2:6">
      <c r="B439" s="156"/>
      <c r="C439" s="156"/>
      <c r="D439" s="157"/>
      <c r="E439" s="158"/>
      <c r="F439" s="159"/>
    </row>
    <row r="440" spans="2:6">
      <c r="B440" s="156"/>
      <c r="C440" s="156"/>
      <c r="D440" s="157"/>
      <c r="E440" s="158"/>
      <c r="F440" s="159"/>
    </row>
    <row r="441" spans="2:6">
      <c r="B441" s="156"/>
      <c r="C441" s="156"/>
      <c r="D441" s="157"/>
      <c r="E441" s="158"/>
      <c r="F441" s="159"/>
    </row>
    <row r="442" spans="2:6">
      <c r="B442" s="156"/>
      <c r="C442" s="156"/>
      <c r="D442" s="157"/>
      <c r="E442" s="158"/>
      <c r="F442" s="159"/>
    </row>
    <row r="443" spans="2:6">
      <c r="B443" s="156"/>
      <c r="C443" s="156"/>
      <c r="D443" s="157"/>
      <c r="E443" s="158"/>
      <c r="F443" s="159"/>
    </row>
    <row r="444" spans="2:6">
      <c r="B444" s="156"/>
      <c r="C444" s="156"/>
      <c r="D444" s="157"/>
      <c r="E444" s="158"/>
      <c r="F444" s="159"/>
    </row>
    <row r="445" spans="2:6">
      <c r="B445" s="156"/>
      <c r="C445" s="156"/>
      <c r="D445" s="157"/>
      <c r="E445" s="158"/>
      <c r="F445" s="159"/>
    </row>
    <row r="446" spans="2:6">
      <c r="B446" s="156"/>
      <c r="C446" s="156"/>
      <c r="D446" s="157"/>
      <c r="E446" s="158"/>
      <c r="F446" s="159"/>
    </row>
    <row r="447" spans="2:6">
      <c r="B447" s="156"/>
      <c r="C447" s="156"/>
      <c r="D447" s="157"/>
      <c r="E447" s="158"/>
      <c r="F447" s="159"/>
    </row>
    <row r="448" spans="2:6">
      <c r="B448" s="156"/>
      <c r="C448" s="156"/>
      <c r="D448" s="157"/>
      <c r="E448" s="158"/>
      <c r="F448" s="159"/>
    </row>
    <row r="449" spans="2:6">
      <c r="B449" s="156"/>
      <c r="C449" s="156"/>
      <c r="D449" s="157"/>
      <c r="E449" s="158"/>
      <c r="F449" s="159"/>
    </row>
    <row r="450" spans="2:6">
      <c r="B450" s="156"/>
      <c r="C450" s="156"/>
      <c r="D450" s="157"/>
      <c r="E450" s="158"/>
      <c r="F450" s="159"/>
    </row>
    <row r="451" spans="2:6">
      <c r="B451" s="156"/>
      <c r="C451" s="156"/>
      <c r="D451" s="157"/>
      <c r="E451" s="158"/>
      <c r="F451" s="159"/>
    </row>
    <row r="452" spans="2:6">
      <c r="B452" s="156"/>
      <c r="C452" s="156"/>
      <c r="D452" s="157"/>
      <c r="E452" s="158"/>
      <c r="F452" s="159"/>
    </row>
    <row r="453" spans="2:6">
      <c r="B453" s="156"/>
      <c r="C453" s="156"/>
      <c r="D453" s="157"/>
      <c r="E453" s="158"/>
      <c r="F453" s="159"/>
    </row>
    <row r="454" spans="2:6">
      <c r="B454" s="156"/>
      <c r="C454" s="156"/>
      <c r="D454" s="157"/>
      <c r="E454" s="158"/>
      <c r="F454" s="159"/>
    </row>
    <row r="455" spans="2:6">
      <c r="B455" s="156"/>
      <c r="C455" s="156"/>
      <c r="D455" s="157"/>
      <c r="E455" s="158"/>
      <c r="F455" s="159"/>
    </row>
    <row r="456" spans="2:6">
      <c r="B456" s="156"/>
      <c r="C456" s="156"/>
      <c r="D456" s="157"/>
      <c r="E456" s="158"/>
      <c r="F456" s="159"/>
    </row>
    <row r="457" spans="2:6">
      <c r="B457" s="156"/>
      <c r="C457" s="156"/>
      <c r="D457" s="157"/>
      <c r="E457" s="158"/>
      <c r="F457" s="159"/>
    </row>
    <row r="458" spans="2:6">
      <c r="B458" s="156"/>
      <c r="C458" s="156"/>
      <c r="D458" s="157"/>
      <c r="E458" s="158"/>
      <c r="F458" s="159"/>
    </row>
    <row r="459" spans="2:6">
      <c r="B459" s="156"/>
      <c r="C459" s="156"/>
      <c r="D459" s="157"/>
      <c r="E459" s="158"/>
      <c r="F459" s="159"/>
    </row>
    <row r="460" spans="2:6">
      <c r="B460" s="156"/>
      <c r="C460" s="156"/>
      <c r="D460" s="157"/>
      <c r="E460" s="158"/>
      <c r="F460" s="159"/>
    </row>
    <row r="461" spans="2:6">
      <c r="B461" s="161"/>
      <c r="C461" s="161"/>
      <c r="D461" s="157"/>
      <c r="E461" s="158"/>
      <c r="F461" s="159"/>
    </row>
    <row r="462" spans="2:6">
      <c r="B462" s="161"/>
      <c r="C462" s="161"/>
      <c r="D462" s="157"/>
      <c r="E462" s="158"/>
      <c r="F462" s="159"/>
    </row>
    <row r="463" spans="2:6">
      <c r="B463" s="161"/>
      <c r="C463" s="161"/>
      <c r="D463" s="157"/>
      <c r="E463" s="158"/>
      <c r="F463" s="159"/>
    </row>
    <row r="464" spans="2:6">
      <c r="B464" s="161"/>
      <c r="C464" s="161"/>
      <c r="D464" s="157"/>
      <c r="E464" s="158"/>
      <c r="F464" s="159"/>
    </row>
    <row r="465" spans="2:6">
      <c r="B465" s="156"/>
      <c r="C465" s="156"/>
      <c r="D465" s="157"/>
      <c r="E465" s="158"/>
      <c r="F465" s="159"/>
    </row>
    <row r="466" spans="2:6">
      <c r="B466" s="156"/>
      <c r="C466" s="156"/>
      <c r="D466" s="157"/>
      <c r="E466" s="158"/>
      <c r="F466" s="159"/>
    </row>
    <row r="467" spans="2:6">
      <c r="B467" s="156"/>
      <c r="C467" s="156"/>
      <c r="D467" s="157"/>
      <c r="E467" s="158"/>
      <c r="F467" s="159"/>
    </row>
    <row r="468" spans="2:6">
      <c r="B468" s="156"/>
      <c r="C468" s="156"/>
      <c r="D468" s="157"/>
      <c r="E468" s="158"/>
      <c r="F468" s="159"/>
    </row>
    <row r="469" spans="2:6">
      <c r="B469" s="156"/>
      <c r="C469" s="156"/>
      <c r="D469" s="157"/>
      <c r="E469" s="158"/>
      <c r="F469" s="159"/>
    </row>
    <row r="470" spans="2:6">
      <c r="B470" s="156"/>
      <c r="C470" s="156"/>
      <c r="D470" s="157"/>
      <c r="E470" s="158"/>
      <c r="F470" s="159"/>
    </row>
    <row r="471" spans="2:6">
      <c r="B471" s="156"/>
      <c r="C471" s="156"/>
      <c r="D471" s="157"/>
      <c r="E471" s="158"/>
      <c r="F471" s="159"/>
    </row>
    <row r="472" spans="2:6">
      <c r="B472" s="156"/>
      <c r="C472" s="156"/>
      <c r="D472" s="157"/>
      <c r="E472" s="158"/>
      <c r="F472" s="159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DB35D-8FA0-A044-817A-DAE2C225C4B7}">
  <dimension ref="A1:BC107"/>
  <sheetViews>
    <sheetView workbookViewId="0">
      <pane xSplit="3" ySplit="1" topLeftCell="AG75" activePane="bottomRight" state="frozen"/>
      <selection pane="topRight" activeCell="C1" sqref="C1"/>
      <selection pane="bottomLeft" activeCell="A2" sqref="A2"/>
      <selection pane="bottomRight" activeCell="AP2" sqref="AP2:AP105"/>
    </sheetView>
  </sheetViews>
  <sheetFormatPr baseColWidth="10" defaultColWidth="11" defaultRowHeight="16"/>
  <cols>
    <col min="1" max="1" width="19.6640625" style="95" bestFit="1" customWidth="1"/>
    <col min="2" max="5" width="11" style="95"/>
    <col min="6" max="6" width="11" style="101"/>
    <col min="7" max="7" width="11" style="95"/>
    <col min="8" max="8" width="11" style="101"/>
    <col min="9" max="11" width="11" style="95"/>
    <col min="12" max="12" width="11" style="101"/>
    <col min="13" max="13" width="20.6640625" style="95" bestFit="1" customWidth="1"/>
    <col min="14" max="14" width="11" style="95"/>
    <col min="15" max="15" width="19.6640625" style="95" bestFit="1" customWidth="1"/>
    <col min="16" max="18" width="11" style="95"/>
    <col min="19" max="19" width="11" style="101"/>
    <col min="20" max="20" width="14.5" style="172" bestFit="1" customWidth="1"/>
    <col min="21" max="21" width="11" style="95"/>
    <col min="22" max="22" width="14" style="95" bestFit="1" customWidth="1"/>
    <col min="23" max="31" width="11" style="95"/>
    <col min="32" max="32" width="11" style="101"/>
    <col min="33" max="35" width="11" style="95"/>
    <col min="36" max="36" width="11" style="101"/>
    <col min="37" max="37" width="11" style="177"/>
    <col min="38" max="38" width="14" style="177" bestFit="1" customWidth="1"/>
    <col min="39" max="39" width="11" style="177"/>
    <col min="40" max="40" width="11" style="95"/>
    <col min="41" max="41" width="15" style="172" bestFit="1" customWidth="1"/>
    <col min="42" max="42" width="14.5" style="173" customWidth="1"/>
    <col min="43" max="50" width="11" style="95"/>
    <col min="51" max="51" width="11.1640625" style="101" bestFit="1" customWidth="1"/>
    <col min="52" max="54" width="11" style="95"/>
    <col min="55" max="55" width="32" style="95" bestFit="1" customWidth="1"/>
    <col min="56" max="16384" width="11" style="95"/>
  </cols>
  <sheetData>
    <row r="1" spans="1:55" s="1" customFormat="1" ht="90">
      <c r="A1" s="1" t="s">
        <v>331</v>
      </c>
      <c r="B1" s="2" t="s">
        <v>0</v>
      </c>
      <c r="C1" s="2" t="s">
        <v>332</v>
      </c>
      <c r="D1" s="2" t="s">
        <v>1</v>
      </c>
      <c r="E1" s="2" t="s">
        <v>2</v>
      </c>
      <c r="F1" s="2" t="s">
        <v>573</v>
      </c>
      <c r="G1" s="3" t="s">
        <v>14</v>
      </c>
      <c r="H1" s="2" t="s">
        <v>333</v>
      </c>
      <c r="I1" s="3" t="s">
        <v>3</v>
      </c>
      <c r="J1" s="2" t="s">
        <v>457</v>
      </c>
      <c r="K1" s="2" t="s">
        <v>4</v>
      </c>
      <c r="L1" s="2" t="s">
        <v>334</v>
      </c>
      <c r="M1" s="5" t="s">
        <v>15</v>
      </c>
      <c r="N1" s="7" t="s">
        <v>596</v>
      </c>
      <c r="O1" s="2" t="s">
        <v>458</v>
      </c>
      <c r="P1" s="2" t="s">
        <v>16</v>
      </c>
      <c r="Q1" s="2" t="s">
        <v>574</v>
      </c>
      <c r="R1" s="2" t="s">
        <v>575</v>
      </c>
      <c r="S1" s="2" t="s">
        <v>576</v>
      </c>
      <c r="T1" s="3" t="s">
        <v>335</v>
      </c>
      <c r="U1" s="8" t="s">
        <v>578</v>
      </c>
      <c r="V1" s="8" t="s">
        <v>577</v>
      </c>
      <c r="W1" s="8" t="s">
        <v>579</v>
      </c>
      <c r="X1" s="2" t="s">
        <v>5</v>
      </c>
      <c r="Y1" s="8" t="s">
        <v>6</v>
      </c>
      <c r="Z1" s="2" t="s">
        <v>459</v>
      </c>
      <c r="AA1" s="8" t="s">
        <v>336</v>
      </c>
      <c r="AB1" s="8" t="s">
        <v>580</v>
      </c>
      <c r="AC1" s="8" t="s">
        <v>581</v>
      </c>
      <c r="AD1" s="8" t="s">
        <v>582</v>
      </c>
      <c r="AE1" s="8" t="s">
        <v>583</v>
      </c>
      <c r="AF1" s="8" t="s">
        <v>584</v>
      </c>
      <c r="AG1" s="16" t="s">
        <v>7</v>
      </c>
      <c r="AH1" s="8" t="s">
        <v>8</v>
      </c>
      <c r="AI1" s="8" t="s">
        <v>9</v>
      </c>
      <c r="AJ1" s="8" t="s">
        <v>10</v>
      </c>
      <c r="AK1" s="3" t="s">
        <v>337</v>
      </c>
      <c r="AL1" s="8" t="s">
        <v>585</v>
      </c>
      <c r="AM1" s="8" t="s">
        <v>586</v>
      </c>
      <c r="AN1" s="2" t="s">
        <v>587</v>
      </c>
      <c r="AO1" s="8" t="s">
        <v>588</v>
      </c>
      <c r="AP1" s="8" t="s">
        <v>589</v>
      </c>
      <c r="AQ1" s="9" t="s">
        <v>11</v>
      </c>
      <c r="AR1" s="10" t="s">
        <v>12</v>
      </c>
      <c r="AS1" s="2" t="s">
        <v>329</v>
      </c>
      <c r="AT1" s="2" t="s">
        <v>330</v>
      </c>
      <c r="AU1" s="10" t="s">
        <v>13</v>
      </c>
      <c r="AV1" s="10" t="s">
        <v>590</v>
      </c>
      <c r="AW1" s="4" t="s">
        <v>591</v>
      </c>
      <c r="AX1" s="8" t="s">
        <v>592</v>
      </c>
      <c r="AY1" s="2" t="s">
        <v>383</v>
      </c>
      <c r="AZ1" s="3" t="s">
        <v>594</v>
      </c>
      <c r="BA1" s="8" t="s">
        <v>593</v>
      </c>
      <c r="BB1" s="8" t="s">
        <v>595</v>
      </c>
      <c r="BC1" s="5" t="s">
        <v>17</v>
      </c>
    </row>
    <row r="2" spans="1:55">
      <c r="A2" s="95" t="str">
        <f>CONCATENATE("\cite{",B2,C2,"}")</f>
        <v>\cite{Al-Behadili2015}</v>
      </c>
      <c r="B2" s="95" t="s">
        <v>271</v>
      </c>
      <c r="C2" s="95">
        <v>2015</v>
      </c>
      <c r="E2" s="11">
        <f>IF(D2&gt;0,D2,C2)</f>
        <v>2015</v>
      </c>
      <c r="F2" s="96">
        <f>LOOKUP(E2,Total_wind_installed_capacity!$A$3:$A$28,Total_wind_installed_capacity!$H$3:$H$28)</f>
        <v>427.65899999999999</v>
      </c>
      <c r="G2" s="95" t="s">
        <v>27</v>
      </c>
      <c r="H2" s="101" t="s">
        <v>22</v>
      </c>
      <c r="I2" s="95" t="s">
        <v>272</v>
      </c>
      <c r="J2" s="172">
        <v>1650</v>
      </c>
      <c r="K2" s="95">
        <f>L2/J2</f>
        <v>37</v>
      </c>
      <c r="L2" s="173">
        <f>37*J2</f>
        <v>61050</v>
      </c>
      <c r="M2" s="95" t="s">
        <v>460</v>
      </c>
      <c r="O2" s="95" t="s">
        <v>461</v>
      </c>
      <c r="P2" s="95" t="s">
        <v>348</v>
      </c>
      <c r="Q2" s="95">
        <v>82</v>
      </c>
      <c r="R2" s="95">
        <v>71</v>
      </c>
      <c r="S2" s="101" t="s">
        <v>340</v>
      </c>
      <c r="T2" s="172">
        <f>107777*1000*3.6</f>
        <v>387997200</v>
      </c>
      <c r="V2" s="174">
        <f>T2/3.6</f>
        <v>107777000</v>
      </c>
      <c r="X2" s="175">
        <f t="shared" ref="X2:X65" si="0">T2/L2/1000</f>
        <v>6.3554004914004913</v>
      </c>
      <c r="Y2" s="175"/>
      <c r="Z2" s="175">
        <f>X2/3.6</f>
        <v>1.7653890253890254</v>
      </c>
      <c r="AA2" s="175"/>
      <c r="AK2" s="176">
        <f>AO2/(8760*L2*AN2)</f>
        <v>0.42392641707710199</v>
      </c>
      <c r="AL2" s="171">
        <f>L2*AK2*8760</f>
        <v>226715000</v>
      </c>
      <c r="AM2" s="176"/>
      <c r="AN2" s="95">
        <v>20</v>
      </c>
      <c r="AO2" s="172">
        <f>226715*1000*AN2</f>
        <v>4534300000</v>
      </c>
      <c r="AP2" s="199">
        <f>AO2/L2*1000</f>
        <v>74271908.271908268</v>
      </c>
      <c r="AW2" s="102">
        <f>T2/3.6/AO2</f>
        <v>2.3769269788059898E-2</v>
      </c>
      <c r="AY2" s="99">
        <f t="shared" ref="AY2:AY7" si="1">AN2*AW2</f>
        <v>0.47538539576119798</v>
      </c>
    </row>
    <row r="3" spans="1:55">
      <c r="A3" s="95" t="str">
        <f t="shared" ref="A3:A73" si="2">CONCATENATE("\cite{",B3,C3,"}")</f>
        <v>\cite{Aso2015}</v>
      </c>
      <c r="B3" s="95" t="s">
        <v>327</v>
      </c>
      <c r="C3" s="95">
        <v>2015</v>
      </c>
      <c r="E3" s="11">
        <f t="shared" ref="E3:E66" si="3">IF(D3&gt;0,D3,C3)</f>
        <v>2015</v>
      </c>
      <c r="F3" s="96">
        <f>LOOKUP(E3,Total_wind_installed_capacity!$A$3:$A$28,Total_wind_installed_capacity!$H$3:$H$28)</f>
        <v>427.65899999999999</v>
      </c>
      <c r="G3" s="95" t="s">
        <v>27</v>
      </c>
      <c r="H3" s="101" t="s">
        <v>36</v>
      </c>
      <c r="J3" s="172">
        <v>2100</v>
      </c>
      <c r="K3" s="95">
        <f t="shared" ref="K3:K66" si="4">L3/J3</f>
        <v>1</v>
      </c>
      <c r="L3" s="173">
        <f>1*J3</f>
        <v>2100</v>
      </c>
      <c r="O3" s="95" t="s">
        <v>462</v>
      </c>
      <c r="P3" s="95" t="s">
        <v>339</v>
      </c>
      <c r="Q3" s="95">
        <v>80</v>
      </c>
      <c r="R3" s="95">
        <v>70</v>
      </c>
      <c r="S3" s="101" t="s">
        <v>356</v>
      </c>
      <c r="T3" s="172">
        <f>3280*1000</f>
        <v>3280000</v>
      </c>
      <c r="V3" s="174">
        <f t="shared" ref="V3:V66" si="5">T3/3.6</f>
        <v>911111.11111111112</v>
      </c>
      <c r="X3" s="175">
        <f t="shared" si="0"/>
        <v>1.5619047619047619</v>
      </c>
      <c r="Y3" s="175"/>
      <c r="Z3" s="175">
        <f t="shared" ref="Z3:Z66" si="6">X3/3.6</f>
        <v>0.43386243386243384</v>
      </c>
      <c r="AA3" s="175"/>
      <c r="AL3" s="171">
        <f t="shared" ref="AL3:AL66" si="7">L3*AK3*8760</f>
        <v>0</v>
      </c>
      <c r="AP3" s="199">
        <f t="shared" ref="AP3:AP66" si="8">AO3/L3*1000</f>
        <v>0</v>
      </c>
      <c r="AW3" s="102"/>
      <c r="AY3" s="99">
        <f t="shared" si="1"/>
        <v>0</v>
      </c>
    </row>
    <row r="4" spans="1:55">
      <c r="A4" s="95" t="str">
        <f t="shared" si="2"/>
        <v>\cite{Aso2015}</v>
      </c>
      <c r="B4" s="95" t="s">
        <v>327</v>
      </c>
      <c r="C4" s="95">
        <v>2015</v>
      </c>
      <c r="E4" s="11">
        <f t="shared" si="3"/>
        <v>2015</v>
      </c>
      <c r="F4" s="96">
        <f>LOOKUP(E4,Total_wind_installed_capacity!$A$3:$A$28,Total_wind_installed_capacity!$H$3:$H$28)</f>
        <v>427.65899999999999</v>
      </c>
      <c r="G4" s="95" t="s">
        <v>27</v>
      </c>
      <c r="H4" s="101" t="s">
        <v>36</v>
      </c>
      <c r="J4" s="172">
        <v>1600</v>
      </c>
      <c r="K4" s="95">
        <f t="shared" si="4"/>
        <v>1</v>
      </c>
      <c r="L4" s="173">
        <f>1*J4</f>
        <v>1600</v>
      </c>
      <c r="O4" s="95" t="s">
        <v>462</v>
      </c>
      <c r="P4" s="95" t="s">
        <v>339</v>
      </c>
      <c r="Q4" s="95">
        <v>70</v>
      </c>
      <c r="R4" s="95">
        <v>65</v>
      </c>
      <c r="S4" s="101" t="s">
        <v>356</v>
      </c>
      <c r="T4" s="172">
        <f>2830*1000</f>
        <v>2830000</v>
      </c>
      <c r="V4" s="174">
        <f t="shared" si="5"/>
        <v>786111.11111111112</v>
      </c>
      <c r="X4" s="175">
        <f t="shared" si="0"/>
        <v>1.76875</v>
      </c>
      <c r="Y4" s="175"/>
      <c r="Z4" s="175">
        <f t="shared" si="6"/>
        <v>0.49131944444444442</v>
      </c>
      <c r="AA4" s="175"/>
      <c r="AL4" s="171">
        <f t="shared" si="7"/>
        <v>0</v>
      </c>
      <c r="AP4" s="199">
        <f t="shared" si="8"/>
        <v>0</v>
      </c>
      <c r="AW4" s="102"/>
      <c r="AY4" s="99">
        <f t="shared" si="1"/>
        <v>0</v>
      </c>
    </row>
    <row r="5" spans="1:55">
      <c r="A5" s="95" t="str">
        <f t="shared" si="2"/>
        <v>\cite{Aso2015}</v>
      </c>
      <c r="B5" s="95" t="s">
        <v>327</v>
      </c>
      <c r="C5" s="95">
        <v>2015</v>
      </c>
      <c r="E5" s="11">
        <f t="shared" si="3"/>
        <v>2015</v>
      </c>
      <c r="F5" s="96">
        <f>LOOKUP(E5,Total_wind_installed_capacity!$A$3:$A$28,Total_wind_installed_capacity!$H$3:$H$28)</f>
        <v>427.65899999999999</v>
      </c>
      <c r="G5" s="95" t="s">
        <v>27</v>
      </c>
      <c r="H5" s="101" t="s">
        <v>36</v>
      </c>
      <c r="J5" s="172">
        <v>2700</v>
      </c>
      <c r="K5" s="95">
        <f t="shared" si="4"/>
        <v>1</v>
      </c>
      <c r="L5" s="173">
        <f>1*J5</f>
        <v>2700</v>
      </c>
      <c r="O5" s="95" t="s">
        <v>462</v>
      </c>
      <c r="P5" s="95" t="s">
        <v>339</v>
      </c>
      <c r="Q5" s="95">
        <v>90</v>
      </c>
      <c r="R5" s="95">
        <v>80</v>
      </c>
      <c r="S5" s="101" t="s">
        <v>356</v>
      </c>
      <c r="T5" s="172">
        <f>4250*1000</f>
        <v>4250000</v>
      </c>
      <c r="V5" s="174">
        <f t="shared" si="5"/>
        <v>1180555.5555555555</v>
      </c>
      <c r="X5" s="175">
        <f t="shared" si="0"/>
        <v>1.5740740740740742</v>
      </c>
      <c r="Y5" s="175"/>
      <c r="Z5" s="175">
        <f t="shared" si="6"/>
        <v>0.4372427983539095</v>
      </c>
      <c r="AA5" s="175"/>
      <c r="AL5" s="171">
        <f t="shared" si="7"/>
        <v>0</v>
      </c>
      <c r="AP5" s="199">
        <f t="shared" si="8"/>
        <v>0</v>
      </c>
      <c r="AW5" s="102"/>
      <c r="AY5" s="99">
        <f t="shared" si="1"/>
        <v>0</v>
      </c>
    </row>
    <row r="6" spans="1:55">
      <c r="A6" s="95" t="str">
        <f t="shared" si="2"/>
        <v>\cite{Cheng2016}</v>
      </c>
      <c r="B6" s="95" t="s">
        <v>463</v>
      </c>
      <c r="C6" s="95">
        <v>2016</v>
      </c>
      <c r="E6" s="11">
        <f t="shared" si="3"/>
        <v>2016</v>
      </c>
      <c r="F6" s="96">
        <f>LOOKUP(E6,Total_wind_installed_capacity!$A$3:$A$28,Total_wind_installed_capacity!$H$3:$H$28)</f>
        <v>427.65899999999999</v>
      </c>
      <c r="G6" s="95" t="s">
        <v>27</v>
      </c>
      <c r="H6" s="101" t="s">
        <v>22</v>
      </c>
      <c r="I6" s="95" t="s">
        <v>205</v>
      </c>
      <c r="J6" s="172">
        <v>2000</v>
      </c>
      <c r="K6" s="95">
        <f t="shared" si="4"/>
        <v>8</v>
      </c>
      <c r="L6" s="173">
        <f>8*J6</f>
        <v>16000</v>
      </c>
      <c r="O6" s="95" t="s">
        <v>461</v>
      </c>
      <c r="P6" s="95" t="s">
        <v>348</v>
      </c>
      <c r="S6" s="101" t="s">
        <v>340</v>
      </c>
      <c r="T6" s="172">
        <f>29090000*3.6</f>
        <v>104724000</v>
      </c>
      <c r="V6" s="174">
        <f t="shared" si="5"/>
        <v>29090000</v>
      </c>
      <c r="X6" s="175">
        <f t="shared" si="0"/>
        <v>6.5452500000000002</v>
      </c>
      <c r="Y6" s="175"/>
      <c r="Z6" s="175">
        <f t="shared" si="6"/>
        <v>1.818125</v>
      </c>
      <c r="AA6" s="175"/>
      <c r="AK6" s="177">
        <f t="shared" ref="AK6:AK37" si="9">AO6/(8760*L6*AN6)</f>
        <v>0.32156107305936071</v>
      </c>
      <c r="AL6" s="171">
        <f t="shared" si="7"/>
        <v>45069999.999999993</v>
      </c>
      <c r="AN6" s="95">
        <v>20</v>
      </c>
      <c r="AO6" s="172">
        <v>901400000</v>
      </c>
      <c r="AP6" s="199">
        <f t="shared" si="8"/>
        <v>56337500</v>
      </c>
      <c r="AW6" s="102">
        <f>T6/3.6/AO6</f>
        <v>3.2272021300199689E-2</v>
      </c>
      <c r="AY6" s="99">
        <f t="shared" si="1"/>
        <v>0.64544042600399376</v>
      </c>
    </row>
    <row r="7" spans="1:55">
      <c r="A7" s="95" t="str">
        <f t="shared" si="2"/>
        <v>\cite{Cheng2016}</v>
      </c>
      <c r="B7" s="95" t="s">
        <v>463</v>
      </c>
      <c r="C7" s="95">
        <v>2016</v>
      </c>
      <c r="E7" s="11">
        <f t="shared" si="3"/>
        <v>2016</v>
      </c>
      <c r="F7" s="96">
        <f>LOOKUP(E7,Total_wind_installed_capacity!$A$3:$A$28,Total_wind_installed_capacity!$H$3:$H$28)</f>
        <v>427.65899999999999</v>
      </c>
      <c r="G7" s="95" t="s">
        <v>27</v>
      </c>
      <c r="H7" s="101" t="s">
        <v>464</v>
      </c>
      <c r="I7" s="95" t="s">
        <v>205</v>
      </c>
      <c r="J7" s="172">
        <v>2000</v>
      </c>
      <c r="K7" s="95">
        <f t="shared" si="4"/>
        <v>80</v>
      </c>
      <c r="L7" s="173">
        <f>80*J7</f>
        <v>160000</v>
      </c>
      <c r="O7" s="95" t="s">
        <v>461</v>
      </c>
      <c r="P7" s="95" t="s">
        <v>359</v>
      </c>
      <c r="S7" s="101" t="s">
        <v>340</v>
      </c>
      <c r="T7" s="172">
        <f>486000000*3.6</f>
        <v>1749600000</v>
      </c>
      <c r="V7" s="174">
        <f t="shared" si="5"/>
        <v>486000000</v>
      </c>
      <c r="X7" s="175">
        <f t="shared" si="0"/>
        <v>10.935</v>
      </c>
      <c r="Y7" s="175"/>
      <c r="Z7" s="175">
        <f t="shared" si="6"/>
        <v>3.0375000000000001</v>
      </c>
      <c r="AA7" s="175"/>
      <c r="AK7" s="177">
        <f t="shared" si="9"/>
        <v>0.46161529680365299</v>
      </c>
      <c r="AL7" s="171">
        <f t="shared" si="7"/>
        <v>647000000.00000012</v>
      </c>
      <c r="AN7" s="95">
        <v>20</v>
      </c>
      <c r="AO7" s="172">
        <v>12940000000</v>
      </c>
      <c r="AP7" s="199">
        <f t="shared" si="8"/>
        <v>80875000</v>
      </c>
      <c r="AW7" s="102">
        <f>T7/3.6/AO7</f>
        <v>3.7557959814528592E-2</v>
      </c>
      <c r="AY7" s="99">
        <f t="shared" si="1"/>
        <v>0.75115919629057182</v>
      </c>
    </row>
    <row r="8" spans="1:55">
      <c r="A8" s="95" t="str">
        <f t="shared" si="2"/>
        <v>\cite{Demir2013}</v>
      </c>
      <c r="B8" s="95" t="s">
        <v>465</v>
      </c>
      <c r="C8" s="95">
        <v>2013</v>
      </c>
      <c r="E8" s="11">
        <f t="shared" si="3"/>
        <v>2013</v>
      </c>
      <c r="F8" s="96">
        <f>LOOKUP(E8,Total_wind_installed_capacity!$A$3:$A$28,Total_wind_installed_capacity!$H$3:$H$28)</f>
        <v>310.36672750000002</v>
      </c>
      <c r="G8" s="95" t="s">
        <v>27</v>
      </c>
      <c r="H8" s="101" t="s">
        <v>466</v>
      </c>
      <c r="I8" s="95" t="s">
        <v>81</v>
      </c>
      <c r="J8" s="172">
        <v>330</v>
      </c>
      <c r="K8" s="95">
        <f t="shared" si="4"/>
        <v>1</v>
      </c>
      <c r="L8" s="173">
        <f t="shared" ref="L8:L22" si="10">1*J8</f>
        <v>330</v>
      </c>
      <c r="P8" s="95" t="s">
        <v>339</v>
      </c>
      <c r="Q8" s="95">
        <v>33</v>
      </c>
      <c r="R8" s="95">
        <v>50</v>
      </c>
      <c r="T8" s="172">
        <f>AO8/AN8*AY8*3.6</f>
        <v>5030280</v>
      </c>
      <c r="V8" s="174">
        <f t="shared" si="5"/>
        <v>1397300</v>
      </c>
      <c r="X8" s="175">
        <f t="shared" si="0"/>
        <v>15.243272727272728</v>
      </c>
      <c r="Y8" s="175"/>
      <c r="Z8" s="175">
        <f t="shared" si="6"/>
        <v>4.2342424242424244</v>
      </c>
      <c r="AA8" s="175"/>
      <c r="AK8" s="177">
        <f t="shared" si="9"/>
        <v>0.16293067662930677</v>
      </c>
      <c r="AL8" s="171">
        <f t="shared" si="7"/>
        <v>471000</v>
      </c>
      <c r="AN8" s="95">
        <v>20</v>
      </c>
      <c r="AO8" s="172">
        <f>471000*AN8</f>
        <v>9420000</v>
      </c>
      <c r="AP8" s="199">
        <f t="shared" si="8"/>
        <v>28545454.545454543</v>
      </c>
      <c r="AW8" s="102">
        <f>T8/3.6/AO8</f>
        <v>0.14833333333333334</v>
      </c>
      <c r="AY8" s="178">
        <f>35.6/12</f>
        <v>2.9666666666666668</v>
      </c>
      <c r="BB8" s="98"/>
    </row>
    <row r="9" spans="1:55">
      <c r="A9" s="95" t="str">
        <f t="shared" si="2"/>
        <v>\cite{Demir2013}</v>
      </c>
      <c r="B9" s="95" t="s">
        <v>465</v>
      </c>
      <c r="C9" s="95">
        <v>2013</v>
      </c>
      <c r="E9" s="11">
        <f t="shared" si="3"/>
        <v>2013</v>
      </c>
      <c r="F9" s="96">
        <f>LOOKUP(E9,Total_wind_installed_capacity!$A$3:$A$28,Total_wind_installed_capacity!$H$3:$H$28)</f>
        <v>310.36672750000002</v>
      </c>
      <c r="G9" s="95" t="s">
        <v>27</v>
      </c>
      <c r="I9" s="95" t="s">
        <v>81</v>
      </c>
      <c r="J9" s="172">
        <v>330</v>
      </c>
      <c r="K9" s="95">
        <f t="shared" si="4"/>
        <v>1</v>
      </c>
      <c r="L9" s="173">
        <f t="shared" si="10"/>
        <v>330</v>
      </c>
      <c r="P9" s="95" t="s">
        <v>339</v>
      </c>
      <c r="Q9" s="95">
        <v>33</v>
      </c>
      <c r="R9" s="95">
        <v>80</v>
      </c>
      <c r="V9" s="174">
        <f t="shared" si="5"/>
        <v>0</v>
      </c>
      <c r="X9" s="175">
        <f t="shared" si="0"/>
        <v>0</v>
      </c>
      <c r="Y9" s="175"/>
      <c r="Z9" s="175">
        <f t="shared" si="6"/>
        <v>0</v>
      </c>
      <c r="AA9" s="175"/>
      <c r="AK9" s="177">
        <f t="shared" si="9"/>
        <v>0.21032240210322403</v>
      </c>
      <c r="AL9" s="171">
        <f t="shared" si="7"/>
        <v>608000</v>
      </c>
      <c r="AN9" s="95">
        <v>20</v>
      </c>
      <c r="AO9" s="172">
        <f>608000*AN9</f>
        <v>12160000</v>
      </c>
      <c r="AP9" s="199">
        <f t="shared" si="8"/>
        <v>36848484.848484851</v>
      </c>
      <c r="AW9" s="102"/>
      <c r="AY9" s="99">
        <f>33/12</f>
        <v>2.75</v>
      </c>
    </row>
    <row r="10" spans="1:55">
      <c r="A10" s="95" t="str">
        <f t="shared" si="2"/>
        <v>\cite{Demir2013}</v>
      </c>
      <c r="B10" s="95" t="s">
        <v>465</v>
      </c>
      <c r="C10" s="95">
        <v>2013</v>
      </c>
      <c r="E10" s="11">
        <f t="shared" si="3"/>
        <v>2013</v>
      </c>
      <c r="F10" s="96">
        <f>LOOKUP(E10,Total_wind_installed_capacity!$A$3:$A$28,Total_wind_installed_capacity!$H$3:$H$28)</f>
        <v>310.36672750000002</v>
      </c>
      <c r="G10" s="95" t="s">
        <v>27</v>
      </c>
      <c r="I10" s="95" t="s">
        <v>81</v>
      </c>
      <c r="J10" s="172">
        <v>330</v>
      </c>
      <c r="K10" s="95">
        <f t="shared" si="4"/>
        <v>1</v>
      </c>
      <c r="L10" s="173">
        <f t="shared" si="10"/>
        <v>330</v>
      </c>
      <c r="P10" s="95" t="s">
        <v>339</v>
      </c>
      <c r="Q10" s="95">
        <v>33</v>
      </c>
      <c r="R10" s="95">
        <v>100</v>
      </c>
      <c r="V10" s="174">
        <f t="shared" si="5"/>
        <v>0</v>
      </c>
      <c r="X10" s="175">
        <f t="shared" si="0"/>
        <v>0</v>
      </c>
      <c r="Y10" s="175"/>
      <c r="Z10" s="175">
        <f t="shared" si="6"/>
        <v>0</v>
      </c>
      <c r="AA10" s="175"/>
      <c r="AK10" s="177">
        <f t="shared" si="9"/>
        <v>0.25806005258060055</v>
      </c>
      <c r="AL10" s="171">
        <f t="shared" si="7"/>
        <v>746000</v>
      </c>
      <c r="AN10" s="95">
        <v>20</v>
      </c>
      <c r="AO10" s="172">
        <f>746000*AN10</f>
        <v>14920000</v>
      </c>
      <c r="AP10" s="199">
        <f t="shared" si="8"/>
        <v>45212121.212121218</v>
      </c>
      <c r="AW10" s="102"/>
      <c r="AY10" s="96">
        <f>30/12</f>
        <v>2.5</v>
      </c>
    </row>
    <row r="11" spans="1:55">
      <c r="A11" s="95" t="str">
        <f t="shared" si="2"/>
        <v>\cite{Demir2013}</v>
      </c>
      <c r="B11" s="95" t="s">
        <v>465</v>
      </c>
      <c r="C11" s="95">
        <v>2013</v>
      </c>
      <c r="E11" s="11">
        <f t="shared" si="3"/>
        <v>2013</v>
      </c>
      <c r="F11" s="96">
        <f>LOOKUP(E11,Total_wind_installed_capacity!$A$3:$A$28,Total_wind_installed_capacity!$H$3:$H$28)</f>
        <v>310.36672750000002</v>
      </c>
      <c r="G11" s="95" t="s">
        <v>27</v>
      </c>
      <c r="I11" s="95" t="s">
        <v>81</v>
      </c>
      <c r="J11" s="172">
        <v>500</v>
      </c>
      <c r="K11" s="95">
        <f t="shared" si="4"/>
        <v>1</v>
      </c>
      <c r="L11" s="173">
        <f t="shared" si="10"/>
        <v>500</v>
      </c>
      <c r="P11" s="95" t="s">
        <v>339</v>
      </c>
      <c r="Q11" s="95">
        <v>48</v>
      </c>
      <c r="R11" s="95">
        <v>50</v>
      </c>
      <c r="V11" s="174">
        <f t="shared" si="5"/>
        <v>0</v>
      </c>
      <c r="X11" s="175">
        <f t="shared" si="0"/>
        <v>0</v>
      </c>
      <c r="Y11" s="175"/>
      <c r="Z11" s="175">
        <f t="shared" si="6"/>
        <v>0</v>
      </c>
      <c r="AA11" s="175"/>
      <c r="AK11" s="177">
        <f t="shared" si="9"/>
        <v>0.15821917808219177</v>
      </c>
      <c r="AL11" s="171">
        <f t="shared" si="7"/>
        <v>693000</v>
      </c>
      <c r="AN11" s="95">
        <v>20</v>
      </c>
      <c r="AO11" s="172">
        <f>693000*AN11</f>
        <v>13860000</v>
      </c>
      <c r="AP11" s="199">
        <f t="shared" si="8"/>
        <v>27720000</v>
      </c>
      <c r="AW11" s="102"/>
      <c r="AY11" s="99">
        <f>35/12</f>
        <v>2.9166666666666665</v>
      </c>
    </row>
    <row r="12" spans="1:55">
      <c r="A12" s="95" t="str">
        <f t="shared" si="2"/>
        <v>\cite{Demir2013}</v>
      </c>
      <c r="B12" s="95" t="s">
        <v>465</v>
      </c>
      <c r="C12" s="95">
        <v>2013</v>
      </c>
      <c r="E12" s="11">
        <f t="shared" si="3"/>
        <v>2013</v>
      </c>
      <c r="F12" s="96">
        <f>LOOKUP(E12,Total_wind_installed_capacity!$A$3:$A$28,Total_wind_installed_capacity!$H$3:$H$28)</f>
        <v>310.36672750000002</v>
      </c>
      <c r="G12" s="95" t="s">
        <v>27</v>
      </c>
      <c r="I12" s="95" t="s">
        <v>81</v>
      </c>
      <c r="J12" s="172">
        <v>500</v>
      </c>
      <c r="K12" s="95">
        <f t="shared" si="4"/>
        <v>1</v>
      </c>
      <c r="L12" s="173">
        <f t="shared" si="10"/>
        <v>500</v>
      </c>
      <c r="P12" s="95" t="s">
        <v>339</v>
      </c>
      <c r="Q12" s="95">
        <v>48</v>
      </c>
      <c r="R12" s="95">
        <v>80</v>
      </c>
      <c r="V12" s="174">
        <f t="shared" si="5"/>
        <v>0</v>
      </c>
      <c r="X12" s="175">
        <f t="shared" si="0"/>
        <v>0</v>
      </c>
      <c r="Y12" s="175"/>
      <c r="Z12" s="175">
        <f t="shared" si="6"/>
        <v>0</v>
      </c>
      <c r="AA12" s="175"/>
      <c r="AK12" s="177">
        <f t="shared" si="9"/>
        <v>0.20616438356164385</v>
      </c>
      <c r="AL12" s="171">
        <f t="shared" si="7"/>
        <v>903000.00000000012</v>
      </c>
      <c r="AN12" s="95">
        <v>20</v>
      </c>
      <c r="AO12" s="172">
        <f>903000*AN12</f>
        <v>18060000</v>
      </c>
      <c r="AP12" s="199">
        <f t="shared" si="8"/>
        <v>36120000</v>
      </c>
      <c r="AW12" s="102"/>
      <c r="AY12" s="99">
        <f>29/12</f>
        <v>2.4166666666666665</v>
      </c>
    </row>
    <row r="13" spans="1:55">
      <c r="A13" s="95" t="str">
        <f t="shared" si="2"/>
        <v>\cite{Demir2013}</v>
      </c>
      <c r="B13" s="95" t="s">
        <v>465</v>
      </c>
      <c r="C13" s="95">
        <v>2013</v>
      </c>
      <c r="E13" s="11">
        <f t="shared" si="3"/>
        <v>2013</v>
      </c>
      <c r="F13" s="96">
        <f>LOOKUP(E13,Total_wind_installed_capacity!$A$3:$A$28,Total_wind_installed_capacity!$H$3:$H$28)</f>
        <v>310.36672750000002</v>
      </c>
      <c r="G13" s="95" t="s">
        <v>27</v>
      </c>
      <c r="I13" s="95" t="s">
        <v>81</v>
      </c>
      <c r="J13" s="172">
        <v>500</v>
      </c>
      <c r="K13" s="95">
        <f t="shared" si="4"/>
        <v>1</v>
      </c>
      <c r="L13" s="173">
        <f t="shared" si="10"/>
        <v>500</v>
      </c>
      <c r="P13" s="95" t="s">
        <v>339</v>
      </c>
      <c r="Q13" s="95">
        <v>48</v>
      </c>
      <c r="R13" s="95">
        <v>100</v>
      </c>
      <c r="V13" s="174">
        <f t="shared" si="5"/>
        <v>0</v>
      </c>
      <c r="X13" s="175">
        <f t="shared" si="0"/>
        <v>0</v>
      </c>
      <c r="Y13" s="175"/>
      <c r="Z13" s="175">
        <f t="shared" si="6"/>
        <v>0</v>
      </c>
      <c r="AA13" s="175"/>
      <c r="AK13" s="177">
        <f t="shared" si="9"/>
        <v>0.23059360730593606</v>
      </c>
      <c r="AL13" s="171">
        <f t="shared" si="7"/>
        <v>1009999.9999999999</v>
      </c>
      <c r="AN13" s="95">
        <v>20</v>
      </c>
      <c r="AO13" s="172">
        <f>1010000*AN13</f>
        <v>20200000</v>
      </c>
      <c r="AP13" s="199">
        <f t="shared" si="8"/>
        <v>40400000</v>
      </c>
      <c r="AW13" s="102"/>
      <c r="AY13" s="99">
        <v>2.25</v>
      </c>
    </row>
    <row r="14" spans="1:55">
      <c r="A14" s="95" t="str">
        <f t="shared" si="2"/>
        <v>\cite{Demir2013}</v>
      </c>
      <c r="B14" s="95" t="s">
        <v>465</v>
      </c>
      <c r="C14" s="95">
        <v>2013</v>
      </c>
      <c r="E14" s="11">
        <f t="shared" si="3"/>
        <v>2013</v>
      </c>
      <c r="F14" s="96">
        <f>LOOKUP(E14,Total_wind_installed_capacity!$A$3:$A$28,Total_wind_installed_capacity!$H$3:$H$28)</f>
        <v>310.36672750000002</v>
      </c>
      <c r="G14" s="95" t="s">
        <v>27</v>
      </c>
      <c r="I14" s="95" t="s">
        <v>81</v>
      </c>
      <c r="J14" s="172">
        <v>810</v>
      </c>
      <c r="K14" s="95">
        <f t="shared" si="4"/>
        <v>1</v>
      </c>
      <c r="L14" s="173">
        <f t="shared" si="10"/>
        <v>810</v>
      </c>
      <c r="P14" s="95" t="s">
        <v>339</v>
      </c>
      <c r="Q14" s="95">
        <v>53</v>
      </c>
      <c r="R14" s="95">
        <v>50</v>
      </c>
      <c r="V14" s="174">
        <f t="shared" si="5"/>
        <v>0</v>
      </c>
      <c r="X14" s="175">
        <f t="shared" si="0"/>
        <v>0</v>
      </c>
      <c r="Y14" s="175"/>
      <c r="Z14" s="175">
        <f t="shared" si="6"/>
        <v>0</v>
      </c>
      <c r="AA14" s="175"/>
      <c r="AK14" s="177">
        <f t="shared" si="9"/>
        <v>0.16630024240374316</v>
      </c>
      <c r="AL14" s="171">
        <f t="shared" si="7"/>
        <v>1180000</v>
      </c>
      <c r="AN14" s="95">
        <v>20</v>
      </c>
      <c r="AO14" s="172">
        <f>1180000*AN14</f>
        <v>23600000</v>
      </c>
      <c r="AP14" s="199">
        <f t="shared" si="8"/>
        <v>29135802.469135806</v>
      </c>
      <c r="AW14" s="102"/>
      <c r="AY14" s="99">
        <f>24/12</f>
        <v>2</v>
      </c>
    </row>
    <row r="15" spans="1:55">
      <c r="A15" s="95" t="str">
        <f t="shared" si="2"/>
        <v>\cite{Demir2013}</v>
      </c>
      <c r="B15" s="95" t="s">
        <v>465</v>
      </c>
      <c r="C15" s="95">
        <v>2013</v>
      </c>
      <c r="E15" s="11">
        <f t="shared" si="3"/>
        <v>2013</v>
      </c>
      <c r="F15" s="96">
        <f>LOOKUP(E15,Total_wind_installed_capacity!$A$3:$A$28,Total_wind_installed_capacity!$H$3:$H$28)</f>
        <v>310.36672750000002</v>
      </c>
      <c r="G15" s="95" t="s">
        <v>27</v>
      </c>
      <c r="I15" s="95" t="s">
        <v>81</v>
      </c>
      <c r="J15" s="172">
        <v>810</v>
      </c>
      <c r="K15" s="95">
        <f t="shared" si="4"/>
        <v>1</v>
      </c>
      <c r="L15" s="173">
        <f t="shared" si="10"/>
        <v>810</v>
      </c>
      <c r="P15" s="95" t="s">
        <v>339</v>
      </c>
      <c r="Q15" s="95">
        <v>53</v>
      </c>
      <c r="R15" s="95">
        <v>80</v>
      </c>
      <c r="V15" s="174">
        <f t="shared" si="5"/>
        <v>0</v>
      </c>
      <c r="X15" s="175">
        <f t="shared" si="0"/>
        <v>0</v>
      </c>
      <c r="Y15" s="175"/>
      <c r="Z15" s="175">
        <f t="shared" si="6"/>
        <v>0</v>
      </c>
      <c r="AA15" s="175"/>
      <c r="AK15" s="177">
        <f t="shared" si="9"/>
        <v>0.21280793731326456</v>
      </c>
      <c r="AL15" s="171">
        <f t="shared" si="7"/>
        <v>1510000</v>
      </c>
      <c r="AN15" s="95">
        <v>20</v>
      </c>
      <c r="AO15" s="172">
        <f>1510000*AN15</f>
        <v>30200000</v>
      </c>
      <c r="AP15" s="199">
        <f t="shared" si="8"/>
        <v>37283950.617283955</v>
      </c>
      <c r="AW15" s="102"/>
      <c r="AY15" s="99">
        <f>19/12</f>
        <v>1.5833333333333333</v>
      </c>
    </row>
    <row r="16" spans="1:55">
      <c r="A16" s="95" t="str">
        <f t="shared" si="2"/>
        <v>\cite{Demir2013}</v>
      </c>
      <c r="B16" s="95" t="s">
        <v>465</v>
      </c>
      <c r="C16" s="95">
        <v>2013</v>
      </c>
      <c r="E16" s="11">
        <f t="shared" si="3"/>
        <v>2013</v>
      </c>
      <c r="F16" s="96">
        <f>LOOKUP(E16,Total_wind_installed_capacity!$A$3:$A$28,Total_wind_installed_capacity!$H$3:$H$28)</f>
        <v>310.36672750000002</v>
      </c>
      <c r="G16" s="95" t="s">
        <v>27</v>
      </c>
      <c r="I16" s="95" t="s">
        <v>81</v>
      </c>
      <c r="J16" s="172">
        <v>810</v>
      </c>
      <c r="K16" s="95">
        <f t="shared" si="4"/>
        <v>1</v>
      </c>
      <c r="L16" s="173">
        <f t="shared" si="10"/>
        <v>810</v>
      </c>
      <c r="P16" s="95" t="s">
        <v>339</v>
      </c>
      <c r="Q16" s="95">
        <v>53</v>
      </c>
      <c r="R16" s="95">
        <v>100</v>
      </c>
      <c r="V16" s="174">
        <f t="shared" si="5"/>
        <v>0</v>
      </c>
      <c r="X16" s="175">
        <f t="shared" si="0"/>
        <v>0</v>
      </c>
      <c r="Y16" s="175"/>
      <c r="Z16" s="175">
        <f t="shared" si="6"/>
        <v>0</v>
      </c>
      <c r="AA16" s="175"/>
      <c r="AK16" s="177">
        <f t="shared" si="9"/>
        <v>0.2353571227239416</v>
      </c>
      <c r="AL16" s="171">
        <f t="shared" si="7"/>
        <v>1670000</v>
      </c>
      <c r="AN16" s="95">
        <v>20</v>
      </c>
      <c r="AO16" s="172">
        <f>1670000*AN16</f>
        <v>33400000</v>
      </c>
      <c r="AP16" s="199">
        <f t="shared" si="8"/>
        <v>41234567.901234567</v>
      </c>
      <c r="AW16" s="102"/>
      <c r="AY16" s="99">
        <f>18/12</f>
        <v>1.5</v>
      </c>
    </row>
    <row r="17" spans="1:54">
      <c r="A17" s="95" t="str">
        <f t="shared" si="2"/>
        <v>\cite{Demir2013}</v>
      </c>
      <c r="B17" s="95" t="s">
        <v>465</v>
      </c>
      <c r="C17" s="95">
        <v>2013</v>
      </c>
      <c r="E17" s="11">
        <f t="shared" si="3"/>
        <v>2013</v>
      </c>
      <c r="F17" s="96">
        <f>LOOKUP(E17,Total_wind_installed_capacity!$A$3:$A$28,Total_wind_installed_capacity!$H$3:$H$28)</f>
        <v>310.36672750000002</v>
      </c>
      <c r="G17" s="95" t="s">
        <v>27</v>
      </c>
      <c r="I17" s="95" t="s">
        <v>81</v>
      </c>
      <c r="J17" s="172">
        <v>2050</v>
      </c>
      <c r="K17" s="95">
        <f t="shared" si="4"/>
        <v>1</v>
      </c>
      <c r="L17" s="173">
        <f t="shared" si="10"/>
        <v>2050</v>
      </c>
      <c r="P17" s="95" t="s">
        <v>339</v>
      </c>
      <c r="Q17" s="95">
        <v>82</v>
      </c>
      <c r="R17" s="95">
        <v>50</v>
      </c>
      <c r="V17" s="174">
        <f t="shared" si="5"/>
        <v>0</v>
      </c>
      <c r="X17" s="175">
        <f>T17/L17/1000</f>
        <v>0</v>
      </c>
      <c r="Y17" s="175"/>
      <c r="Z17" s="175">
        <f t="shared" si="6"/>
        <v>0</v>
      </c>
      <c r="AA17" s="175"/>
      <c r="AK17" s="177">
        <f t="shared" si="9"/>
        <v>0.15313509299476558</v>
      </c>
      <c r="AL17" s="171">
        <f t="shared" si="7"/>
        <v>2750000.0000000005</v>
      </c>
      <c r="AN17" s="95">
        <v>20</v>
      </c>
      <c r="AO17" s="172">
        <f>2750000*AN17</f>
        <v>55000000</v>
      </c>
      <c r="AP17" s="199">
        <f t="shared" si="8"/>
        <v>26829268.292682927</v>
      </c>
      <c r="AW17" s="102"/>
      <c r="AY17" s="99">
        <f>18/12</f>
        <v>1.5</v>
      </c>
    </row>
    <row r="18" spans="1:54">
      <c r="A18" s="95" t="str">
        <f t="shared" si="2"/>
        <v>\cite{Demir2013}</v>
      </c>
      <c r="B18" s="95" t="s">
        <v>465</v>
      </c>
      <c r="C18" s="95">
        <v>2013</v>
      </c>
      <c r="E18" s="11">
        <f t="shared" si="3"/>
        <v>2013</v>
      </c>
      <c r="F18" s="96">
        <f>LOOKUP(E18,Total_wind_installed_capacity!$A$3:$A$28,Total_wind_installed_capacity!$H$3:$H$28)</f>
        <v>310.36672750000002</v>
      </c>
      <c r="G18" s="95" t="s">
        <v>27</v>
      </c>
      <c r="I18" s="95" t="s">
        <v>81</v>
      </c>
      <c r="J18" s="172">
        <v>2050</v>
      </c>
      <c r="K18" s="95">
        <f t="shared" si="4"/>
        <v>1</v>
      </c>
      <c r="L18" s="173">
        <f t="shared" si="10"/>
        <v>2050</v>
      </c>
      <c r="P18" s="95" t="s">
        <v>339</v>
      </c>
      <c r="Q18" s="95">
        <v>82</v>
      </c>
      <c r="R18" s="95">
        <v>80</v>
      </c>
      <c r="V18" s="174">
        <f t="shared" si="5"/>
        <v>0</v>
      </c>
      <c r="X18" s="175">
        <f t="shared" si="0"/>
        <v>0</v>
      </c>
      <c r="Y18" s="175"/>
      <c r="Z18" s="175">
        <f t="shared" si="6"/>
        <v>0</v>
      </c>
      <c r="AA18" s="175"/>
      <c r="AK18" s="177">
        <f t="shared" si="9"/>
        <v>0.19824033856776924</v>
      </c>
      <c r="AL18" s="171">
        <f t="shared" si="7"/>
        <v>3559999.9999999995</v>
      </c>
      <c r="AN18" s="95">
        <v>20</v>
      </c>
      <c r="AO18" s="172">
        <f>3560000*AN18</f>
        <v>71200000</v>
      </c>
      <c r="AP18" s="199">
        <f t="shared" si="8"/>
        <v>34731707.317073166</v>
      </c>
      <c r="AW18" s="102"/>
      <c r="AY18" s="99">
        <f>15/12</f>
        <v>1.25</v>
      </c>
    </row>
    <row r="19" spans="1:54">
      <c r="A19" s="95" t="str">
        <f t="shared" si="2"/>
        <v>\cite{Demir2013}</v>
      </c>
      <c r="B19" s="95" t="s">
        <v>465</v>
      </c>
      <c r="C19" s="95">
        <v>2013</v>
      </c>
      <c r="E19" s="11">
        <f t="shared" si="3"/>
        <v>2013</v>
      </c>
      <c r="F19" s="96">
        <f>LOOKUP(E19,Total_wind_installed_capacity!$A$3:$A$28,Total_wind_installed_capacity!$H$3:$H$28)</f>
        <v>310.36672750000002</v>
      </c>
      <c r="G19" s="95" t="s">
        <v>27</v>
      </c>
      <c r="I19" s="95" t="s">
        <v>81</v>
      </c>
      <c r="J19" s="172">
        <v>2050</v>
      </c>
      <c r="K19" s="95">
        <f t="shared" si="4"/>
        <v>1</v>
      </c>
      <c r="L19" s="173">
        <f t="shared" si="10"/>
        <v>2050</v>
      </c>
      <c r="P19" s="95" t="s">
        <v>339</v>
      </c>
      <c r="Q19" s="95">
        <v>82</v>
      </c>
      <c r="R19" s="95">
        <v>100</v>
      </c>
      <c r="T19" s="172">
        <f>AO19/AN19*AY19*3.6</f>
        <v>17344800</v>
      </c>
      <c r="V19" s="174">
        <f t="shared" si="5"/>
        <v>4818000</v>
      </c>
      <c r="X19" s="175">
        <f t="shared" si="0"/>
        <v>8.4608780487804864</v>
      </c>
      <c r="Y19" s="175"/>
      <c r="Z19" s="175">
        <f t="shared" si="6"/>
        <v>2.3502439024390238</v>
      </c>
      <c r="AA19" s="175"/>
      <c r="AK19" s="177">
        <f t="shared" si="9"/>
        <v>0.22051453391246242</v>
      </c>
      <c r="AL19" s="171">
        <f t="shared" si="7"/>
        <v>3960000</v>
      </c>
      <c r="AN19" s="95">
        <v>20</v>
      </c>
      <c r="AO19" s="172">
        <f>3960000*AN19</f>
        <v>79200000</v>
      </c>
      <c r="AP19" s="199">
        <f t="shared" si="8"/>
        <v>38634146.341463409</v>
      </c>
      <c r="AW19" s="102">
        <f>T19/3.6/AO19</f>
        <v>6.0833333333333336E-2</v>
      </c>
      <c r="AY19" s="178">
        <f>14.6/12</f>
        <v>1.2166666666666666</v>
      </c>
      <c r="BB19" s="98"/>
    </row>
    <row r="20" spans="1:54">
      <c r="A20" s="95" t="str">
        <f t="shared" si="2"/>
        <v>\cite{Demir2013}</v>
      </c>
      <c r="B20" s="95" t="s">
        <v>465</v>
      </c>
      <c r="C20" s="95">
        <v>2013</v>
      </c>
      <c r="E20" s="11">
        <f t="shared" si="3"/>
        <v>2013</v>
      </c>
      <c r="F20" s="96">
        <f>LOOKUP(E20,Total_wind_installed_capacity!$A$3:$A$28,Total_wind_installed_capacity!$H$3:$H$28)</f>
        <v>310.36672750000002</v>
      </c>
      <c r="G20" s="95" t="s">
        <v>27</v>
      </c>
      <c r="I20" s="95" t="s">
        <v>81</v>
      </c>
      <c r="J20" s="172">
        <v>3020</v>
      </c>
      <c r="K20" s="95">
        <f t="shared" si="4"/>
        <v>1</v>
      </c>
      <c r="L20" s="173">
        <f t="shared" si="10"/>
        <v>3020</v>
      </c>
      <c r="P20" s="95" t="s">
        <v>339</v>
      </c>
      <c r="Q20" s="95">
        <v>82</v>
      </c>
      <c r="R20" s="95">
        <v>50</v>
      </c>
      <c r="V20" s="174">
        <f t="shared" si="5"/>
        <v>0</v>
      </c>
      <c r="X20" s="175">
        <f t="shared" si="0"/>
        <v>0</v>
      </c>
      <c r="Y20" s="175"/>
      <c r="Z20" s="175">
        <f t="shared" si="6"/>
        <v>0</v>
      </c>
      <c r="AA20" s="175"/>
      <c r="AK20" s="177">
        <f t="shared" si="9"/>
        <v>0.10319332305180078</v>
      </c>
      <c r="AL20" s="171">
        <f t="shared" si="7"/>
        <v>2730000</v>
      </c>
      <c r="AN20" s="95">
        <v>20</v>
      </c>
      <c r="AO20" s="172">
        <f>2730000*AN20</f>
        <v>54600000</v>
      </c>
      <c r="AP20" s="199">
        <f t="shared" si="8"/>
        <v>18079470.198675495</v>
      </c>
      <c r="AW20" s="102"/>
      <c r="AY20" s="99">
        <f>27/12</f>
        <v>2.25</v>
      </c>
    </row>
    <row r="21" spans="1:54">
      <c r="A21" s="95" t="str">
        <f t="shared" si="2"/>
        <v>\cite{Demir2013}</v>
      </c>
      <c r="B21" s="95" t="s">
        <v>465</v>
      </c>
      <c r="C21" s="95">
        <v>2013</v>
      </c>
      <c r="E21" s="11">
        <f t="shared" si="3"/>
        <v>2013</v>
      </c>
      <c r="F21" s="96">
        <f>LOOKUP(E21,Total_wind_installed_capacity!$A$3:$A$28,Total_wind_installed_capacity!$H$3:$H$28)</f>
        <v>310.36672750000002</v>
      </c>
      <c r="G21" s="95" t="s">
        <v>27</v>
      </c>
      <c r="I21" s="95" t="s">
        <v>81</v>
      </c>
      <c r="J21" s="172">
        <v>3020</v>
      </c>
      <c r="K21" s="95">
        <f t="shared" si="4"/>
        <v>1</v>
      </c>
      <c r="L21" s="173">
        <f t="shared" si="10"/>
        <v>3020</v>
      </c>
      <c r="P21" s="95" t="s">
        <v>339</v>
      </c>
      <c r="Q21" s="95">
        <v>82</v>
      </c>
      <c r="R21" s="95">
        <v>80</v>
      </c>
      <c r="V21" s="174">
        <f t="shared" si="5"/>
        <v>0</v>
      </c>
      <c r="X21" s="175">
        <f t="shared" si="0"/>
        <v>0</v>
      </c>
      <c r="Y21" s="175"/>
      <c r="Z21" s="175">
        <f t="shared" si="6"/>
        <v>0</v>
      </c>
      <c r="AA21" s="175"/>
      <c r="AK21" s="177">
        <f t="shared" si="9"/>
        <v>0.1345671172397109</v>
      </c>
      <c r="AL21" s="171">
        <f t="shared" si="7"/>
        <v>3559999.9999999995</v>
      </c>
      <c r="AN21" s="95">
        <v>20</v>
      </c>
      <c r="AO21" s="172">
        <f>3560000*AN21</f>
        <v>71200000</v>
      </c>
      <c r="AP21" s="199">
        <f t="shared" si="8"/>
        <v>23576158.940397352</v>
      </c>
      <c r="AW21" s="102"/>
      <c r="AY21" s="99">
        <f>22/12</f>
        <v>1.8333333333333333</v>
      </c>
    </row>
    <row r="22" spans="1:54">
      <c r="A22" s="95" t="str">
        <f t="shared" si="2"/>
        <v>\cite{Demir2013}</v>
      </c>
      <c r="B22" s="95" t="s">
        <v>465</v>
      </c>
      <c r="C22" s="95">
        <v>2013</v>
      </c>
      <c r="E22" s="11">
        <f t="shared" si="3"/>
        <v>2013</v>
      </c>
      <c r="F22" s="96">
        <f>LOOKUP(E22,Total_wind_installed_capacity!$A$3:$A$28,Total_wind_installed_capacity!$H$3:$H$28)</f>
        <v>310.36672750000002</v>
      </c>
      <c r="G22" s="95" t="s">
        <v>27</v>
      </c>
      <c r="I22" s="95" t="s">
        <v>81</v>
      </c>
      <c r="J22" s="172">
        <v>3020</v>
      </c>
      <c r="K22" s="95">
        <f t="shared" si="4"/>
        <v>1</v>
      </c>
      <c r="L22" s="173">
        <f t="shared" si="10"/>
        <v>3020</v>
      </c>
      <c r="P22" s="95" t="s">
        <v>339</v>
      </c>
      <c r="Q22" s="95">
        <v>82</v>
      </c>
      <c r="R22" s="95">
        <v>100</v>
      </c>
      <c r="V22" s="174">
        <f t="shared" si="5"/>
        <v>0</v>
      </c>
      <c r="X22" s="175">
        <f t="shared" si="0"/>
        <v>0</v>
      </c>
      <c r="Y22" s="175"/>
      <c r="Z22" s="175">
        <f t="shared" si="6"/>
        <v>0</v>
      </c>
      <c r="AA22" s="175"/>
      <c r="AK22" s="177">
        <f t="shared" si="9"/>
        <v>0.15082101061417036</v>
      </c>
      <c r="AL22" s="171">
        <f t="shared" si="7"/>
        <v>3989999.9999999995</v>
      </c>
      <c r="AN22" s="95">
        <v>20</v>
      </c>
      <c r="AO22" s="172">
        <f>3990000*AN22</f>
        <v>79800000</v>
      </c>
      <c r="AP22" s="199">
        <f t="shared" si="8"/>
        <v>26423841.059602648</v>
      </c>
      <c r="AW22" s="102"/>
      <c r="AY22" s="99">
        <f>21/12</f>
        <v>1.75</v>
      </c>
    </row>
    <row r="23" spans="1:54">
      <c r="A23" s="95" t="str">
        <f t="shared" si="2"/>
        <v>\cite{Fleck2009}</v>
      </c>
      <c r="B23" s="95" t="s">
        <v>128</v>
      </c>
      <c r="C23" s="95">
        <v>2009</v>
      </c>
      <c r="E23" s="11">
        <f t="shared" si="3"/>
        <v>2009</v>
      </c>
      <c r="F23" s="96">
        <f>LOOKUP(E23,Total_wind_installed_capacity!$A$3:$A$28,Total_wind_installed_capacity!$H$3:$H$28)</f>
        <v>151.3704745</v>
      </c>
      <c r="G23" s="95" t="s">
        <v>27</v>
      </c>
      <c r="H23" s="101" t="s">
        <v>467</v>
      </c>
      <c r="I23" s="95" t="s">
        <v>119</v>
      </c>
      <c r="J23" s="179">
        <v>0.4</v>
      </c>
      <c r="K23" s="95">
        <f t="shared" si="4"/>
        <v>5</v>
      </c>
      <c r="L23" s="173">
        <f>5*J23</f>
        <v>2</v>
      </c>
      <c r="M23" s="95" t="s">
        <v>468</v>
      </c>
      <c r="O23" s="95" t="s">
        <v>469</v>
      </c>
      <c r="P23" s="95" t="s">
        <v>348</v>
      </c>
      <c r="Q23" s="95">
        <v>1.17</v>
      </c>
      <c r="R23" s="95">
        <v>30</v>
      </c>
      <c r="S23" s="101" t="s">
        <v>356</v>
      </c>
      <c r="T23" s="172">
        <f>(736+4032+28950+40+479+4701+14138+3391)*3.6</f>
        <v>203281.2</v>
      </c>
      <c r="V23" s="174">
        <f t="shared" si="5"/>
        <v>56467</v>
      </c>
      <c r="X23" s="175">
        <f>T23/L23/1000</f>
        <v>101.64060000000001</v>
      </c>
      <c r="Y23" s="175"/>
      <c r="Z23" s="175">
        <f t="shared" si="6"/>
        <v>28.233499999999999</v>
      </c>
      <c r="AA23" s="175"/>
      <c r="AK23" s="177">
        <f t="shared" si="9"/>
        <v>0.16130422374429224</v>
      </c>
      <c r="AL23" s="171">
        <f t="shared" si="7"/>
        <v>2826.05</v>
      </c>
      <c r="AN23" s="95">
        <v>20</v>
      </c>
      <c r="AO23" s="172">
        <v>56521</v>
      </c>
      <c r="AP23" s="199">
        <f t="shared" si="8"/>
        <v>28260500</v>
      </c>
      <c r="AW23" s="102">
        <f t="shared" ref="AW23:AW69" si="11">T23/3.6/AO23</f>
        <v>0.99904460289096086</v>
      </c>
      <c r="AY23" s="99">
        <f t="shared" ref="AY23:AY69" si="12">AN23*AW23</f>
        <v>19.980892057819219</v>
      </c>
    </row>
    <row r="24" spans="1:54">
      <c r="A24" s="95" t="str">
        <f t="shared" si="2"/>
        <v>\cite{Greening2013}</v>
      </c>
      <c r="B24" s="95" t="s">
        <v>175</v>
      </c>
      <c r="C24" s="95">
        <v>2013</v>
      </c>
      <c r="E24" s="11">
        <f t="shared" si="3"/>
        <v>2013</v>
      </c>
      <c r="F24" s="96">
        <f>LOOKUP(E24,Total_wind_installed_capacity!$A$3:$A$28,Total_wind_installed_capacity!$H$3:$H$28)</f>
        <v>310.36672750000002</v>
      </c>
      <c r="G24" s="95" t="s">
        <v>27</v>
      </c>
      <c r="H24" s="101" t="s">
        <v>22</v>
      </c>
      <c r="I24" s="95" t="s">
        <v>30</v>
      </c>
      <c r="J24" s="172">
        <v>6</v>
      </c>
      <c r="K24" s="95">
        <f t="shared" si="4"/>
        <v>1</v>
      </c>
      <c r="L24" s="173">
        <f t="shared" ref="L24:L33" si="13">1*J24</f>
        <v>6</v>
      </c>
      <c r="O24" s="95" t="s">
        <v>470</v>
      </c>
      <c r="P24" s="95" t="s">
        <v>348</v>
      </c>
      <c r="Q24" s="95">
        <v>5.5</v>
      </c>
      <c r="R24" s="95">
        <v>9</v>
      </c>
      <c r="S24" s="101" t="s">
        <v>356</v>
      </c>
      <c r="T24" s="172">
        <f>1.15*AO24</f>
        <v>179400</v>
      </c>
      <c r="V24" s="174">
        <f t="shared" si="5"/>
        <v>49833.333333333328</v>
      </c>
      <c r="X24" s="175">
        <f t="shared" si="0"/>
        <v>29.9</v>
      </c>
      <c r="Y24" s="175"/>
      <c r="Z24" s="175">
        <f t="shared" si="6"/>
        <v>8.3055555555555554</v>
      </c>
      <c r="AA24" s="175"/>
      <c r="AK24" s="177">
        <f t="shared" si="9"/>
        <v>0.14840182648401826</v>
      </c>
      <c r="AL24" s="171">
        <f t="shared" si="7"/>
        <v>7800</v>
      </c>
      <c r="AN24" s="95">
        <v>20</v>
      </c>
      <c r="AO24" s="172">
        <f>7800*AN24</f>
        <v>156000</v>
      </c>
      <c r="AP24" s="199">
        <f t="shared" si="8"/>
        <v>26000000</v>
      </c>
      <c r="AW24" s="102">
        <f t="shared" si="11"/>
        <v>0.31944444444444442</v>
      </c>
      <c r="AY24" s="99">
        <f t="shared" si="12"/>
        <v>6.3888888888888884</v>
      </c>
    </row>
    <row r="25" spans="1:54">
      <c r="A25" s="95" t="str">
        <f t="shared" si="2"/>
        <v>\cite{Greening2013}</v>
      </c>
      <c r="B25" s="95" t="s">
        <v>175</v>
      </c>
      <c r="C25" s="95">
        <v>2013</v>
      </c>
      <c r="E25" s="11">
        <f t="shared" si="3"/>
        <v>2013</v>
      </c>
      <c r="F25" s="96">
        <f>LOOKUP(E25,Total_wind_installed_capacity!$A$3:$A$28,Total_wind_installed_capacity!$H$3:$H$28)</f>
        <v>310.36672750000002</v>
      </c>
      <c r="G25" s="95" t="s">
        <v>27</v>
      </c>
      <c r="H25" s="101" t="s">
        <v>22</v>
      </c>
      <c r="I25" s="95" t="s">
        <v>30</v>
      </c>
      <c r="J25" s="172">
        <v>6</v>
      </c>
      <c r="K25" s="95">
        <f t="shared" si="4"/>
        <v>1</v>
      </c>
      <c r="L25" s="173">
        <f t="shared" si="13"/>
        <v>6</v>
      </c>
      <c r="O25" s="95" t="s">
        <v>470</v>
      </c>
      <c r="P25" s="95" t="s">
        <v>348</v>
      </c>
      <c r="Q25" s="95">
        <v>5.5</v>
      </c>
      <c r="R25" s="95">
        <v>9</v>
      </c>
      <c r="S25" s="101" t="s">
        <v>356</v>
      </c>
      <c r="T25" s="172">
        <f>T24</f>
        <v>179400</v>
      </c>
      <c r="V25" s="174">
        <f t="shared" si="5"/>
        <v>49833.333333333328</v>
      </c>
      <c r="X25" s="175">
        <f>T25/L25/1000</f>
        <v>29.9</v>
      </c>
      <c r="Y25" s="175"/>
      <c r="Z25" s="175">
        <f t="shared" si="6"/>
        <v>8.3055555555555554</v>
      </c>
      <c r="AA25" s="175"/>
      <c r="AK25" s="177">
        <f t="shared" si="9"/>
        <v>0.18264840182648401</v>
      </c>
      <c r="AL25" s="171">
        <f t="shared" si="7"/>
        <v>9600</v>
      </c>
      <c r="AN25" s="95">
        <v>20</v>
      </c>
      <c r="AO25" s="172">
        <f>9600*AN25</f>
        <v>192000</v>
      </c>
      <c r="AP25" s="199">
        <f t="shared" si="8"/>
        <v>32000000</v>
      </c>
      <c r="AW25" s="102">
        <f t="shared" si="11"/>
        <v>0.2595486111111111</v>
      </c>
      <c r="AY25" s="99">
        <f t="shared" si="12"/>
        <v>5.1909722222222223</v>
      </c>
    </row>
    <row r="26" spans="1:54">
      <c r="A26" s="95" t="str">
        <f t="shared" si="2"/>
        <v>\cite{Greening2013}</v>
      </c>
      <c r="B26" s="95" t="s">
        <v>175</v>
      </c>
      <c r="C26" s="95">
        <v>2013</v>
      </c>
      <c r="E26" s="11">
        <f t="shared" si="3"/>
        <v>2013</v>
      </c>
      <c r="F26" s="96">
        <f>LOOKUP(E26,Total_wind_installed_capacity!$A$3:$A$28,Total_wind_installed_capacity!$H$3:$H$28)</f>
        <v>310.36672750000002</v>
      </c>
      <c r="G26" s="95" t="s">
        <v>27</v>
      </c>
      <c r="H26" s="101" t="s">
        <v>22</v>
      </c>
      <c r="I26" s="95" t="s">
        <v>30</v>
      </c>
      <c r="J26" s="172">
        <v>6</v>
      </c>
      <c r="K26" s="95">
        <f t="shared" si="4"/>
        <v>1</v>
      </c>
      <c r="L26" s="173">
        <f t="shared" si="13"/>
        <v>6</v>
      </c>
      <c r="O26" s="95" t="s">
        <v>470</v>
      </c>
      <c r="P26" s="95" t="s">
        <v>348</v>
      </c>
      <c r="Q26" s="95">
        <v>5.5</v>
      </c>
      <c r="R26" s="95">
        <v>9</v>
      </c>
      <c r="S26" s="101" t="s">
        <v>356</v>
      </c>
      <c r="T26" s="172">
        <f t="shared" ref="T26:T31" si="14">T25</f>
        <v>179400</v>
      </c>
      <c r="V26" s="174">
        <f t="shared" si="5"/>
        <v>49833.333333333328</v>
      </c>
      <c r="X26" s="175">
        <f t="shared" ref="X26:X31" si="15">T26/L26/1000</f>
        <v>29.9</v>
      </c>
      <c r="Y26" s="175"/>
      <c r="Z26" s="175">
        <f t="shared" si="6"/>
        <v>8.3055555555555554</v>
      </c>
      <c r="AA26" s="175"/>
      <c r="AK26" s="177">
        <f t="shared" si="9"/>
        <v>0.19025875190258751</v>
      </c>
      <c r="AL26" s="171">
        <f t="shared" si="7"/>
        <v>9999.9999999999982</v>
      </c>
      <c r="AN26" s="95">
        <v>20</v>
      </c>
      <c r="AO26" s="172">
        <f>10000*AN26</f>
        <v>200000</v>
      </c>
      <c r="AP26" s="199">
        <f t="shared" si="8"/>
        <v>33333333.333333336</v>
      </c>
      <c r="AW26" s="102">
        <f t="shared" si="11"/>
        <v>0.24916666666666665</v>
      </c>
      <c r="AY26" s="99">
        <f t="shared" si="12"/>
        <v>4.9833333333333325</v>
      </c>
    </row>
    <row r="27" spans="1:54">
      <c r="A27" s="95" t="str">
        <f t="shared" si="2"/>
        <v>\cite{Greening2013}</v>
      </c>
      <c r="B27" s="95" t="s">
        <v>175</v>
      </c>
      <c r="C27" s="95">
        <v>2013</v>
      </c>
      <c r="E27" s="11">
        <f t="shared" si="3"/>
        <v>2013</v>
      </c>
      <c r="F27" s="96">
        <f>LOOKUP(E27,Total_wind_installed_capacity!$A$3:$A$28,Total_wind_installed_capacity!$H$3:$H$28)</f>
        <v>310.36672750000002</v>
      </c>
      <c r="G27" s="95" t="s">
        <v>27</v>
      </c>
      <c r="H27" s="101" t="s">
        <v>22</v>
      </c>
      <c r="I27" s="95" t="s">
        <v>30</v>
      </c>
      <c r="J27" s="172">
        <v>6</v>
      </c>
      <c r="K27" s="95">
        <f t="shared" si="4"/>
        <v>1</v>
      </c>
      <c r="L27" s="173">
        <f t="shared" si="13"/>
        <v>6</v>
      </c>
      <c r="O27" s="95" t="s">
        <v>470</v>
      </c>
      <c r="P27" s="95" t="s">
        <v>348</v>
      </c>
      <c r="Q27" s="95">
        <v>5.5</v>
      </c>
      <c r="R27" s="95">
        <v>9</v>
      </c>
      <c r="S27" s="101" t="s">
        <v>356</v>
      </c>
      <c r="T27" s="172">
        <f t="shared" si="14"/>
        <v>179400</v>
      </c>
      <c r="V27" s="174">
        <f t="shared" si="5"/>
        <v>49833.333333333328</v>
      </c>
      <c r="X27" s="175">
        <f t="shared" si="15"/>
        <v>29.9</v>
      </c>
      <c r="Y27" s="175"/>
      <c r="Z27" s="175">
        <f t="shared" si="6"/>
        <v>8.3055555555555554</v>
      </c>
      <c r="AA27" s="175"/>
      <c r="AK27" s="177">
        <f t="shared" si="9"/>
        <v>0.21689497716894976</v>
      </c>
      <c r="AL27" s="171">
        <f t="shared" si="7"/>
        <v>11399.999999999998</v>
      </c>
      <c r="AN27" s="95">
        <v>20</v>
      </c>
      <c r="AO27" s="172">
        <f>11400*AN27</f>
        <v>228000</v>
      </c>
      <c r="AP27" s="199">
        <f t="shared" si="8"/>
        <v>38000000</v>
      </c>
      <c r="AW27" s="102">
        <f t="shared" si="11"/>
        <v>0.21856725146198827</v>
      </c>
      <c r="AY27" s="99">
        <f t="shared" si="12"/>
        <v>4.3713450292397651</v>
      </c>
    </row>
    <row r="28" spans="1:54">
      <c r="A28" s="95" t="str">
        <f t="shared" si="2"/>
        <v>\cite{Greening2013}</v>
      </c>
      <c r="B28" s="95" t="s">
        <v>175</v>
      </c>
      <c r="C28" s="95">
        <v>2013</v>
      </c>
      <c r="E28" s="11">
        <f t="shared" si="3"/>
        <v>2013</v>
      </c>
      <c r="F28" s="96">
        <f>LOOKUP(E28,Total_wind_installed_capacity!$A$3:$A$28,Total_wind_installed_capacity!$H$3:$H$28)</f>
        <v>310.36672750000002</v>
      </c>
      <c r="G28" s="95" t="s">
        <v>27</v>
      </c>
      <c r="H28" s="101" t="s">
        <v>22</v>
      </c>
      <c r="I28" s="95" t="s">
        <v>30</v>
      </c>
      <c r="J28" s="172">
        <v>6</v>
      </c>
      <c r="K28" s="95">
        <f t="shared" si="4"/>
        <v>1</v>
      </c>
      <c r="L28" s="173">
        <f t="shared" si="13"/>
        <v>6</v>
      </c>
      <c r="O28" s="95" t="s">
        <v>470</v>
      </c>
      <c r="P28" s="95" t="s">
        <v>348</v>
      </c>
      <c r="Q28" s="95">
        <v>5.5</v>
      </c>
      <c r="R28" s="95">
        <v>9</v>
      </c>
      <c r="S28" s="101" t="s">
        <v>356</v>
      </c>
      <c r="T28" s="172">
        <f t="shared" si="14"/>
        <v>179400</v>
      </c>
      <c r="V28" s="174">
        <f t="shared" si="5"/>
        <v>49833.333333333328</v>
      </c>
      <c r="X28" s="175">
        <f t="shared" si="15"/>
        <v>29.9</v>
      </c>
      <c r="Y28" s="175"/>
      <c r="Z28" s="175">
        <f t="shared" si="6"/>
        <v>8.3055555555555554</v>
      </c>
      <c r="AA28" s="175"/>
      <c r="AK28" s="177">
        <f t="shared" si="9"/>
        <v>0.23972602739726026</v>
      </c>
      <c r="AL28" s="171">
        <f t="shared" si="7"/>
        <v>12600</v>
      </c>
      <c r="AN28" s="95">
        <v>20</v>
      </c>
      <c r="AO28" s="172">
        <f>12600*AN28</f>
        <v>252000</v>
      </c>
      <c r="AP28" s="199">
        <f t="shared" si="8"/>
        <v>42000000</v>
      </c>
      <c r="AW28" s="102">
        <f t="shared" si="11"/>
        <v>0.19775132275132273</v>
      </c>
      <c r="AY28" s="99">
        <f t="shared" si="12"/>
        <v>3.9550264550264549</v>
      </c>
    </row>
    <row r="29" spans="1:54">
      <c r="A29" s="95" t="str">
        <f t="shared" si="2"/>
        <v>\cite{Greening2013}</v>
      </c>
      <c r="B29" s="95" t="s">
        <v>175</v>
      </c>
      <c r="C29" s="95">
        <v>2013</v>
      </c>
      <c r="E29" s="11">
        <f t="shared" si="3"/>
        <v>2013</v>
      </c>
      <c r="F29" s="96">
        <f>LOOKUP(E29,Total_wind_installed_capacity!$A$3:$A$28,Total_wind_installed_capacity!$H$3:$H$28)</f>
        <v>310.36672750000002</v>
      </c>
      <c r="G29" s="95" t="s">
        <v>27</v>
      </c>
      <c r="H29" s="101" t="s">
        <v>22</v>
      </c>
      <c r="I29" s="95" t="s">
        <v>30</v>
      </c>
      <c r="J29" s="172">
        <v>6</v>
      </c>
      <c r="K29" s="95">
        <f t="shared" si="4"/>
        <v>1</v>
      </c>
      <c r="L29" s="173">
        <f t="shared" si="13"/>
        <v>6</v>
      </c>
      <c r="O29" s="95" t="s">
        <v>470</v>
      </c>
      <c r="P29" s="95" t="s">
        <v>348</v>
      </c>
      <c r="Q29" s="95">
        <v>5.5</v>
      </c>
      <c r="R29" s="95">
        <v>9</v>
      </c>
      <c r="S29" s="101" t="s">
        <v>356</v>
      </c>
      <c r="T29" s="172">
        <f t="shared" si="14"/>
        <v>179400</v>
      </c>
      <c r="V29" s="174">
        <f t="shared" si="5"/>
        <v>49833.333333333328</v>
      </c>
      <c r="X29" s="175">
        <f t="shared" si="15"/>
        <v>29.9</v>
      </c>
      <c r="Y29" s="175"/>
      <c r="Z29" s="175">
        <f t="shared" si="6"/>
        <v>8.3055555555555554</v>
      </c>
      <c r="AA29" s="175"/>
      <c r="AK29" s="177">
        <f t="shared" si="9"/>
        <v>0.27397260273972601</v>
      </c>
      <c r="AL29" s="171">
        <f t="shared" si="7"/>
        <v>14400</v>
      </c>
      <c r="AN29" s="95">
        <v>20</v>
      </c>
      <c r="AO29" s="172">
        <f>14400*AN29</f>
        <v>288000</v>
      </c>
      <c r="AP29" s="199">
        <f t="shared" si="8"/>
        <v>48000000</v>
      </c>
      <c r="AW29" s="102">
        <f t="shared" si="11"/>
        <v>0.17303240740740738</v>
      </c>
      <c r="AY29" s="99">
        <f t="shared" si="12"/>
        <v>3.4606481481481479</v>
      </c>
    </row>
    <row r="30" spans="1:54">
      <c r="A30" s="95" t="str">
        <f t="shared" si="2"/>
        <v>\cite{Greening2013}</v>
      </c>
      <c r="B30" s="95" t="s">
        <v>175</v>
      </c>
      <c r="C30" s="95">
        <v>2013</v>
      </c>
      <c r="E30" s="11">
        <f t="shared" si="3"/>
        <v>2013</v>
      </c>
      <c r="F30" s="96">
        <f>LOOKUP(E30,Total_wind_installed_capacity!$A$3:$A$28,Total_wind_installed_capacity!$H$3:$H$28)</f>
        <v>310.36672750000002</v>
      </c>
      <c r="G30" s="95" t="s">
        <v>27</v>
      </c>
      <c r="H30" s="101" t="s">
        <v>22</v>
      </c>
      <c r="I30" s="95" t="s">
        <v>30</v>
      </c>
      <c r="J30" s="172">
        <v>6</v>
      </c>
      <c r="K30" s="95">
        <f t="shared" si="4"/>
        <v>1</v>
      </c>
      <c r="L30" s="173">
        <f t="shared" si="13"/>
        <v>6</v>
      </c>
      <c r="O30" s="95" t="s">
        <v>470</v>
      </c>
      <c r="P30" s="95" t="s">
        <v>348</v>
      </c>
      <c r="Q30" s="95">
        <v>5.5</v>
      </c>
      <c r="R30" s="95">
        <v>9</v>
      </c>
      <c r="S30" s="101" t="s">
        <v>356</v>
      </c>
      <c r="T30" s="172">
        <f t="shared" si="14"/>
        <v>179400</v>
      </c>
      <c r="V30" s="174">
        <f t="shared" si="5"/>
        <v>49833.333333333328</v>
      </c>
      <c r="X30" s="175">
        <f t="shared" si="15"/>
        <v>29.9</v>
      </c>
      <c r="Y30" s="175"/>
      <c r="Z30" s="175">
        <f t="shared" si="6"/>
        <v>8.3055555555555554</v>
      </c>
      <c r="AA30" s="175"/>
      <c r="AK30" s="177">
        <f t="shared" si="9"/>
        <v>0.30821917808219179</v>
      </c>
      <c r="AL30" s="171">
        <f t="shared" si="7"/>
        <v>16200</v>
      </c>
      <c r="AN30" s="95">
        <v>20</v>
      </c>
      <c r="AO30" s="172">
        <f>16200*AN30</f>
        <v>324000</v>
      </c>
      <c r="AP30" s="199">
        <f t="shared" si="8"/>
        <v>54000000</v>
      </c>
      <c r="AW30" s="102">
        <f t="shared" si="11"/>
        <v>0.1538065843621399</v>
      </c>
      <c r="AY30" s="99">
        <f t="shared" si="12"/>
        <v>3.076131687242798</v>
      </c>
    </row>
    <row r="31" spans="1:54">
      <c r="A31" s="95" t="str">
        <f t="shared" si="2"/>
        <v>\cite{Greening2013}</v>
      </c>
      <c r="B31" s="95" t="s">
        <v>175</v>
      </c>
      <c r="C31" s="95">
        <v>2013</v>
      </c>
      <c r="E31" s="11">
        <f t="shared" si="3"/>
        <v>2013</v>
      </c>
      <c r="F31" s="96">
        <f>LOOKUP(E31,Total_wind_installed_capacity!$A$3:$A$28,Total_wind_installed_capacity!$H$3:$H$28)</f>
        <v>310.36672750000002</v>
      </c>
      <c r="G31" s="95" t="s">
        <v>27</v>
      </c>
      <c r="H31" s="101" t="s">
        <v>22</v>
      </c>
      <c r="I31" s="95" t="s">
        <v>30</v>
      </c>
      <c r="J31" s="172">
        <v>6</v>
      </c>
      <c r="K31" s="95">
        <f t="shared" si="4"/>
        <v>1</v>
      </c>
      <c r="L31" s="173">
        <f t="shared" si="13"/>
        <v>6</v>
      </c>
      <c r="O31" s="95" t="s">
        <v>470</v>
      </c>
      <c r="P31" s="95" t="s">
        <v>348</v>
      </c>
      <c r="Q31" s="95">
        <v>5.5</v>
      </c>
      <c r="R31" s="95">
        <v>9</v>
      </c>
      <c r="S31" s="101" t="s">
        <v>356</v>
      </c>
      <c r="T31" s="172">
        <f t="shared" si="14"/>
        <v>179400</v>
      </c>
      <c r="V31" s="174">
        <f t="shared" si="5"/>
        <v>49833.333333333328</v>
      </c>
      <c r="X31" s="175">
        <f t="shared" si="15"/>
        <v>29.9</v>
      </c>
      <c r="Y31" s="175"/>
      <c r="Z31" s="175">
        <f t="shared" si="6"/>
        <v>8.3055555555555554</v>
      </c>
      <c r="AA31" s="175"/>
      <c r="AK31" s="177">
        <f t="shared" si="9"/>
        <v>0.34246575342465752</v>
      </c>
      <c r="AL31" s="171">
        <f t="shared" si="7"/>
        <v>17999.999999999996</v>
      </c>
      <c r="AN31" s="95">
        <v>20</v>
      </c>
      <c r="AO31" s="172">
        <f>18000*AN31</f>
        <v>360000</v>
      </c>
      <c r="AP31" s="199">
        <f t="shared" si="8"/>
        <v>60000000</v>
      </c>
      <c r="AW31" s="102">
        <f t="shared" si="11"/>
        <v>0.13842592592592592</v>
      </c>
      <c r="AY31" s="99">
        <f t="shared" si="12"/>
        <v>2.7685185185185186</v>
      </c>
    </row>
    <row r="32" spans="1:54">
      <c r="A32" s="95" t="str">
        <f t="shared" si="2"/>
        <v>\cite{Guezuraga2012}</v>
      </c>
      <c r="B32" s="95" t="s">
        <v>397</v>
      </c>
      <c r="C32" s="95">
        <v>2012</v>
      </c>
      <c r="E32" s="11">
        <f t="shared" si="3"/>
        <v>2012</v>
      </c>
      <c r="F32" s="96">
        <f>LOOKUP(E32,Total_wind_installed_capacity!$A$3:$A$28,Total_wind_installed_capacity!$H$3:$H$28)</f>
        <v>270.84683750000005</v>
      </c>
      <c r="G32" s="95" t="s">
        <v>27</v>
      </c>
      <c r="H32" s="101" t="s">
        <v>22</v>
      </c>
      <c r="J32" s="172">
        <v>1800</v>
      </c>
      <c r="K32" s="95">
        <f t="shared" si="4"/>
        <v>1</v>
      </c>
      <c r="L32" s="173">
        <f t="shared" si="13"/>
        <v>1800</v>
      </c>
      <c r="M32" s="95" t="s">
        <v>471</v>
      </c>
      <c r="P32" s="95" t="s">
        <v>348</v>
      </c>
      <c r="Q32" s="95">
        <v>90</v>
      </c>
      <c r="R32" s="95">
        <v>105</v>
      </c>
      <c r="S32" s="101" t="s">
        <v>340</v>
      </c>
      <c r="T32" s="172">
        <f>3.91*1000000*3.6</f>
        <v>14076000</v>
      </c>
      <c r="V32" s="174">
        <f t="shared" si="5"/>
        <v>3910000</v>
      </c>
      <c r="X32" s="175">
        <f t="shared" si="0"/>
        <v>7.82</v>
      </c>
      <c r="Y32" s="175"/>
      <c r="Z32" s="175">
        <f t="shared" si="6"/>
        <v>2.1722222222222221</v>
      </c>
      <c r="AA32" s="175"/>
      <c r="AK32" s="177">
        <f t="shared" si="9"/>
        <v>0.2073820395738204</v>
      </c>
      <c r="AL32" s="171">
        <f t="shared" si="7"/>
        <v>3270000</v>
      </c>
      <c r="AN32" s="95">
        <v>20</v>
      </c>
      <c r="AO32" s="172">
        <f>3.27*1000000*AN32</f>
        <v>65400000</v>
      </c>
      <c r="AP32" s="199">
        <f t="shared" si="8"/>
        <v>36333333.333333336</v>
      </c>
      <c r="AW32" s="102">
        <f t="shared" si="11"/>
        <v>5.9785932721712537E-2</v>
      </c>
      <c r="AY32" s="99">
        <f t="shared" si="12"/>
        <v>1.1957186544342506</v>
      </c>
    </row>
    <row r="33" spans="1:55">
      <c r="A33" s="95" t="str">
        <f t="shared" si="2"/>
        <v>\cite{Guezuraga2012}</v>
      </c>
      <c r="B33" s="95" t="s">
        <v>397</v>
      </c>
      <c r="C33" s="95">
        <v>2012</v>
      </c>
      <c r="E33" s="11">
        <f t="shared" si="3"/>
        <v>2012</v>
      </c>
      <c r="F33" s="96">
        <f>LOOKUP(E33,Total_wind_installed_capacity!$A$3:$A$28,Total_wind_installed_capacity!$H$3:$H$28)</f>
        <v>270.84683750000005</v>
      </c>
      <c r="G33" s="95" t="s">
        <v>27</v>
      </c>
      <c r="H33" s="101" t="s">
        <v>22</v>
      </c>
      <c r="J33" s="172">
        <v>2000</v>
      </c>
      <c r="K33" s="95">
        <f t="shared" si="4"/>
        <v>1</v>
      </c>
      <c r="L33" s="173">
        <f t="shared" si="13"/>
        <v>2000</v>
      </c>
      <c r="M33" s="95" t="s">
        <v>472</v>
      </c>
      <c r="P33" s="95" t="s">
        <v>348</v>
      </c>
      <c r="Q33" s="95">
        <v>70</v>
      </c>
      <c r="R33" s="95">
        <v>65</v>
      </c>
      <c r="S33" s="101" t="s">
        <v>356</v>
      </c>
      <c r="T33" s="172">
        <f>2.11*1000000*3.6</f>
        <v>7596000</v>
      </c>
      <c r="V33" s="174">
        <f t="shared" si="5"/>
        <v>2110000</v>
      </c>
      <c r="X33" s="175">
        <f t="shared" si="0"/>
        <v>3.798</v>
      </c>
      <c r="Y33" s="175"/>
      <c r="Z33" s="175">
        <f t="shared" si="6"/>
        <v>1.0549999999999999</v>
      </c>
      <c r="AA33" s="175"/>
      <c r="AK33" s="177">
        <f t="shared" si="9"/>
        <v>0.341324200913242</v>
      </c>
      <c r="AL33" s="171">
        <f t="shared" si="7"/>
        <v>5980000</v>
      </c>
      <c r="AN33" s="95">
        <v>20</v>
      </c>
      <c r="AO33" s="172">
        <f>5.98*1000000*AN33</f>
        <v>119600000</v>
      </c>
      <c r="AP33" s="199">
        <f t="shared" si="8"/>
        <v>59800000</v>
      </c>
      <c r="AW33" s="102">
        <f t="shared" si="11"/>
        <v>1.7642140468227426E-2</v>
      </c>
      <c r="AY33" s="99">
        <f t="shared" si="12"/>
        <v>0.35284280936454854</v>
      </c>
    </row>
    <row r="34" spans="1:55">
      <c r="A34" s="95" t="str">
        <f t="shared" si="2"/>
        <v>\cite{Kabir2012}</v>
      </c>
      <c r="B34" s="95" t="s">
        <v>401</v>
      </c>
      <c r="C34" s="95">
        <v>2012</v>
      </c>
      <c r="E34" s="11">
        <f t="shared" si="3"/>
        <v>2012</v>
      </c>
      <c r="F34" s="96">
        <f>LOOKUP(E34,Total_wind_installed_capacity!$A$3:$A$28,Total_wind_installed_capacity!$H$3:$H$28)</f>
        <v>270.84683750000005</v>
      </c>
      <c r="G34" s="95" t="s">
        <v>27</v>
      </c>
      <c r="H34" s="101" t="s">
        <v>22</v>
      </c>
      <c r="I34" s="95" t="s">
        <v>119</v>
      </c>
      <c r="J34" s="172">
        <v>5</v>
      </c>
      <c r="K34" s="95">
        <f t="shared" si="4"/>
        <v>20</v>
      </c>
      <c r="L34" s="173">
        <f>20*J34</f>
        <v>100</v>
      </c>
      <c r="M34" s="95" t="s">
        <v>473</v>
      </c>
      <c r="P34" s="95" t="s">
        <v>348</v>
      </c>
      <c r="Q34" s="95">
        <v>5.5</v>
      </c>
      <c r="R34" s="95">
        <v>36.6</v>
      </c>
      <c r="S34" s="101" t="s">
        <v>356</v>
      </c>
      <c r="T34" s="172">
        <f>424.3/1000*AO34*3.6</f>
        <v>7790148</v>
      </c>
      <c r="V34" s="174">
        <f t="shared" si="5"/>
        <v>2163930</v>
      </c>
      <c r="X34" s="175">
        <f t="shared" si="0"/>
        <v>77.901479999999992</v>
      </c>
      <c r="Y34" s="175"/>
      <c r="Z34" s="175">
        <f t="shared" si="6"/>
        <v>21.639299999999999</v>
      </c>
      <c r="AA34" s="175"/>
      <c r="AK34" s="177">
        <f t="shared" si="9"/>
        <v>0.23287671232876711</v>
      </c>
      <c r="AL34" s="171">
        <f t="shared" si="7"/>
        <v>204000</v>
      </c>
      <c r="AN34" s="95">
        <v>25</v>
      </c>
      <c r="AO34" s="172">
        <f>5.1*1000000</f>
        <v>5100000</v>
      </c>
      <c r="AP34" s="199">
        <f t="shared" si="8"/>
        <v>51000000</v>
      </c>
      <c r="AW34" s="102">
        <f t="shared" si="11"/>
        <v>0.42430000000000001</v>
      </c>
      <c r="AY34" s="99">
        <f t="shared" si="12"/>
        <v>10.6075</v>
      </c>
    </row>
    <row r="35" spans="1:55">
      <c r="A35" s="95" t="str">
        <f t="shared" si="2"/>
        <v>\cite{Kabir2012}</v>
      </c>
      <c r="B35" s="95" t="s">
        <v>401</v>
      </c>
      <c r="C35" s="95">
        <v>2012</v>
      </c>
      <c r="E35" s="11">
        <f t="shared" si="3"/>
        <v>2012</v>
      </c>
      <c r="F35" s="96">
        <f>LOOKUP(E35,Total_wind_installed_capacity!$A$3:$A$28,Total_wind_installed_capacity!$H$3:$H$28)</f>
        <v>270.84683750000005</v>
      </c>
      <c r="G35" s="95" t="s">
        <v>27</v>
      </c>
      <c r="H35" s="101" t="s">
        <v>22</v>
      </c>
      <c r="I35" s="95" t="s">
        <v>119</v>
      </c>
      <c r="J35" s="172">
        <v>20</v>
      </c>
      <c r="K35" s="95">
        <f t="shared" si="4"/>
        <v>5</v>
      </c>
      <c r="L35" s="173">
        <f>5*J35</f>
        <v>100</v>
      </c>
      <c r="M35" s="95" t="s">
        <v>474</v>
      </c>
      <c r="P35" s="95" t="s">
        <v>348</v>
      </c>
      <c r="Q35" s="95">
        <v>9.4499999999999993</v>
      </c>
      <c r="R35" s="95">
        <v>36.700000000000003</v>
      </c>
      <c r="S35" s="101" t="s">
        <v>356</v>
      </c>
      <c r="T35" s="172">
        <f>221.5/1000*AO35*3.6</f>
        <v>3907260</v>
      </c>
      <c r="V35" s="174">
        <f t="shared" si="5"/>
        <v>1085350</v>
      </c>
      <c r="X35" s="175">
        <f t="shared" si="0"/>
        <v>39.072600000000001</v>
      </c>
      <c r="Y35" s="175"/>
      <c r="Z35" s="175">
        <f t="shared" si="6"/>
        <v>10.8535</v>
      </c>
      <c r="AA35" s="175"/>
      <c r="AK35" s="177">
        <f t="shared" si="9"/>
        <v>0.22374429223744291</v>
      </c>
      <c r="AL35" s="171">
        <f t="shared" si="7"/>
        <v>195999.99999999997</v>
      </c>
      <c r="AN35" s="95">
        <v>25</v>
      </c>
      <c r="AO35" s="172">
        <f>4900000</f>
        <v>4900000</v>
      </c>
      <c r="AP35" s="199">
        <f t="shared" si="8"/>
        <v>49000000</v>
      </c>
      <c r="AW35" s="102">
        <f t="shared" si="11"/>
        <v>0.2215</v>
      </c>
      <c r="AY35" s="99">
        <f t="shared" si="12"/>
        <v>5.5374999999999996</v>
      </c>
    </row>
    <row r="36" spans="1:55">
      <c r="A36" s="95" t="str">
        <f t="shared" si="2"/>
        <v>\cite{Kabir2012}</v>
      </c>
      <c r="B36" s="95" t="s">
        <v>401</v>
      </c>
      <c r="C36" s="95">
        <v>2012</v>
      </c>
      <c r="E36" s="11">
        <f t="shared" si="3"/>
        <v>2012</v>
      </c>
      <c r="F36" s="96">
        <f>LOOKUP(E36,Total_wind_installed_capacity!$A$3:$A$28,Total_wind_installed_capacity!$H$3:$H$28)</f>
        <v>270.84683750000005</v>
      </c>
      <c r="G36" s="95" t="s">
        <v>27</v>
      </c>
      <c r="H36" s="101" t="s">
        <v>22</v>
      </c>
      <c r="I36" s="95" t="s">
        <v>119</v>
      </c>
      <c r="J36" s="172">
        <v>100</v>
      </c>
      <c r="K36" s="95">
        <f t="shared" si="4"/>
        <v>1</v>
      </c>
      <c r="L36" s="173">
        <f>1*J36</f>
        <v>100</v>
      </c>
      <c r="M36" s="95" t="s">
        <v>475</v>
      </c>
      <c r="P36" s="95" t="s">
        <v>348</v>
      </c>
      <c r="Q36" s="95">
        <v>21</v>
      </c>
      <c r="R36" s="95">
        <v>37</v>
      </c>
      <c r="S36" s="101" t="s">
        <v>356</v>
      </c>
      <c r="T36" s="172">
        <f>133.3/1000*AO36*3.6</f>
        <v>2543364</v>
      </c>
      <c r="V36" s="174">
        <f t="shared" si="5"/>
        <v>706490</v>
      </c>
      <c r="X36" s="175">
        <f t="shared" si="0"/>
        <v>25.43364</v>
      </c>
      <c r="Y36" s="175"/>
      <c r="Z36" s="175">
        <f t="shared" si="6"/>
        <v>7.0648999999999997</v>
      </c>
      <c r="AA36" s="175"/>
      <c r="AK36" s="177">
        <f t="shared" si="9"/>
        <v>0.24200913242009131</v>
      </c>
      <c r="AL36" s="171">
        <f t="shared" si="7"/>
        <v>212000</v>
      </c>
      <c r="AN36" s="95">
        <v>25</v>
      </c>
      <c r="AO36" s="172">
        <f>5300000</f>
        <v>5300000</v>
      </c>
      <c r="AP36" s="199">
        <f t="shared" si="8"/>
        <v>53000000</v>
      </c>
      <c r="AW36" s="102">
        <f t="shared" si="11"/>
        <v>0.1333</v>
      </c>
      <c r="AY36" s="99">
        <f t="shared" si="12"/>
        <v>3.3325</v>
      </c>
    </row>
    <row r="37" spans="1:55">
      <c r="A37" s="95" t="str">
        <f t="shared" si="2"/>
        <v>\cite{Tsai2013}</v>
      </c>
      <c r="B37" s="95" t="s">
        <v>476</v>
      </c>
      <c r="C37" s="95">
        <v>2013</v>
      </c>
      <c r="E37" s="11">
        <f t="shared" si="3"/>
        <v>2013</v>
      </c>
      <c r="F37" s="96">
        <f>LOOKUP(E37,Total_wind_installed_capacity!$A$3:$A$28,Total_wind_installed_capacity!$H$3:$H$28)</f>
        <v>310.36672750000002</v>
      </c>
      <c r="G37" s="95" t="s">
        <v>27</v>
      </c>
      <c r="H37" s="101" t="s">
        <v>22</v>
      </c>
      <c r="I37" s="95" t="s">
        <v>477</v>
      </c>
      <c r="J37" s="172">
        <v>3000</v>
      </c>
      <c r="K37" s="95">
        <f t="shared" si="4"/>
        <v>100</v>
      </c>
      <c r="L37" s="173">
        <f t="shared" ref="L37:L46" si="16">100*J37</f>
        <v>300000</v>
      </c>
      <c r="M37" s="95" t="s">
        <v>478</v>
      </c>
      <c r="N37" s="95" t="s">
        <v>479</v>
      </c>
      <c r="P37" s="95" t="s">
        <v>359</v>
      </c>
      <c r="R37" s="95">
        <v>100</v>
      </c>
      <c r="S37" s="101" t="s">
        <v>356</v>
      </c>
      <c r="T37" s="172">
        <f>8.7*1000000000</f>
        <v>8700000000</v>
      </c>
      <c r="V37" s="174">
        <f t="shared" si="5"/>
        <v>2416666666.6666665</v>
      </c>
      <c r="X37" s="175">
        <f t="shared" si="0"/>
        <v>29</v>
      </c>
      <c r="Y37" s="175"/>
      <c r="Z37" s="175">
        <f t="shared" si="6"/>
        <v>8.0555555555555554</v>
      </c>
      <c r="AA37" s="175"/>
      <c r="AK37" s="177">
        <f t="shared" si="9"/>
        <v>0.28158295281582951</v>
      </c>
      <c r="AL37" s="171">
        <f t="shared" si="7"/>
        <v>740000000</v>
      </c>
      <c r="AN37" s="95">
        <v>20</v>
      </c>
      <c r="AO37" s="172">
        <f>1.48*10000000*1000</f>
        <v>14800000000</v>
      </c>
      <c r="AP37" s="199">
        <f t="shared" si="8"/>
        <v>49333333.333333336</v>
      </c>
      <c r="AW37" s="102">
        <f t="shared" si="11"/>
        <v>0.16328828828828829</v>
      </c>
      <c r="AY37" s="99">
        <f t="shared" si="12"/>
        <v>3.2657657657657655</v>
      </c>
      <c r="BC37" s="95" t="s">
        <v>480</v>
      </c>
    </row>
    <row r="38" spans="1:55">
      <c r="A38" s="95" t="str">
        <f t="shared" si="2"/>
        <v>\cite{Tsai2013}</v>
      </c>
      <c r="B38" s="95" t="s">
        <v>476</v>
      </c>
      <c r="C38" s="95">
        <v>2013</v>
      </c>
      <c r="E38" s="11">
        <f t="shared" si="3"/>
        <v>2013</v>
      </c>
      <c r="F38" s="96">
        <f>LOOKUP(E38,Total_wind_installed_capacity!$A$3:$A$28,Total_wind_installed_capacity!$H$3:$H$28)</f>
        <v>310.36672750000002</v>
      </c>
      <c r="G38" s="95" t="s">
        <v>27</v>
      </c>
      <c r="H38" s="101" t="s">
        <v>22</v>
      </c>
      <c r="I38" s="95" t="s">
        <v>477</v>
      </c>
      <c r="J38" s="172">
        <v>3000</v>
      </c>
      <c r="K38" s="95">
        <f t="shared" si="4"/>
        <v>100</v>
      </c>
      <c r="L38" s="173">
        <f t="shared" si="16"/>
        <v>300000</v>
      </c>
      <c r="M38" s="95" t="s">
        <v>478</v>
      </c>
      <c r="N38" s="95" t="s">
        <v>481</v>
      </c>
      <c r="P38" s="95" t="s">
        <v>359</v>
      </c>
      <c r="R38" s="95">
        <v>100</v>
      </c>
      <c r="S38" s="101" t="s">
        <v>356</v>
      </c>
      <c r="T38" s="172">
        <f>6.29*1000000000</f>
        <v>6290000000</v>
      </c>
      <c r="V38" s="174">
        <f t="shared" si="5"/>
        <v>1747222222.2222221</v>
      </c>
      <c r="X38" s="175">
        <f t="shared" si="0"/>
        <v>20.966666666666669</v>
      </c>
      <c r="Y38" s="175"/>
      <c r="Z38" s="175">
        <f t="shared" si="6"/>
        <v>5.8240740740740744</v>
      </c>
      <c r="AA38" s="175"/>
      <c r="AK38" s="177">
        <f t="shared" ref="AK38:AK69" si="17">AO38/(8760*L38*AN38)</f>
        <v>0.30060882800608829</v>
      </c>
      <c r="AL38" s="171">
        <f t="shared" si="7"/>
        <v>790000000</v>
      </c>
      <c r="AN38" s="95">
        <v>20</v>
      </c>
      <c r="AO38" s="172">
        <f>1.58*10000000*1000</f>
        <v>15800000000</v>
      </c>
      <c r="AP38" s="199">
        <f t="shared" si="8"/>
        <v>52666666.666666664</v>
      </c>
      <c r="AW38" s="102">
        <f t="shared" si="11"/>
        <v>0.11058368495077354</v>
      </c>
      <c r="AY38" s="99">
        <f t="shared" si="12"/>
        <v>2.2116736990154711</v>
      </c>
      <c r="BC38" s="95" t="s">
        <v>482</v>
      </c>
    </row>
    <row r="39" spans="1:55">
      <c r="A39" s="95" t="str">
        <f t="shared" si="2"/>
        <v>\cite{Tsai2013}</v>
      </c>
      <c r="B39" s="95" t="s">
        <v>476</v>
      </c>
      <c r="C39" s="95">
        <v>2013</v>
      </c>
      <c r="E39" s="11">
        <f t="shared" si="3"/>
        <v>2013</v>
      </c>
      <c r="F39" s="96">
        <f>LOOKUP(E39,Total_wind_installed_capacity!$A$3:$A$28,Total_wind_installed_capacity!$H$3:$H$28)</f>
        <v>310.36672750000002</v>
      </c>
      <c r="G39" s="95" t="s">
        <v>27</v>
      </c>
      <c r="H39" s="101" t="s">
        <v>22</v>
      </c>
      <c r="I39" s="95" t="s">
        <v>477</v>
      </c>
      <c r="J39" s="172">
        <v>3000</v>
      </c>
      <c r="K39" s="95">
        <f t="shared" si="4"/>
        <v>100</v>
      </c>
      <c r="L39" s="173">
        <f t="shared" si="16"/>
        <v>300000</v>
      </c>
      <c r="M39" s="95" t="s">
        <v>478</v>
      </c>
      <c r="N39" s="95" t="s">
        <v>483</v>
      </c>
      <c r="P39" s="95" t="s">
        <v>359</v>
      </c>
      <c r="R39" s="95">
        <v>100</v>
      </c>
      <c r="S39" s="101" t="s">
        <v>356</v>
      </c>
      <c r="T39" s="172">
        <f>9.54*1000000000</f>
        <v>9540000000</v>
      </c>
      <c r="V39" s="174">
        <f t="shared" si="5"/>
        <v>2650000000</v>
      </c>
      <c r="X39" s="175">
        <f t="shared" si="0"/>
        <v>31.8</v>
      </c>
      <c r="Y39" s="175"/>
      <c r="Z39" s="175">
        <f t="shared" si="6"/>
        <v>8.8333333333333339</v>
      </c>
      <c r="AA39" s="175"/>
      <c r="AK39" s="177">
        <f t="shared" si="17"/>
        <v>0.30821917808219179</v>
      </c>
      <c r="AL39" s="171">
        <f t="shared" si="7"/>
        <v>810000000</v>
      </c>
      <c r="AN39" s="95">
        <v>20</v>
      </c>
      <c r="AO39" s="172">
        <f>1.62*10000000*1000</f>
        <v>16200000000.000002</v>
      </c>
      <c r="AP39" s="199">
        <f t="shared" si="8"/>
        <v>54000000.000000007</v>
      </c>
      <c r="AW39" s="102">
        <f t="shared" si="11"/>
        <v>0.16358024691358022</v>
      </c>
      <c r="AY39" s="99">
        <f t="shared" si="12"/>
        <v>3.2716049382716044</v>
      </c>
      <c r="BC39" s="95" t="s">
        <v>484</v>
      </c>
    </row>
    <row r="40" spans="1:55">
      <c r="A40" s="95" t="str">
        <f t="shared" si="2"/>
        <v>\cite{Tsai2013}</v>
      </c>
      <c r="B40" s="95" t="s">
        <v>476</v>
      </c>
      <c r="C40" s="95">
        <v>2013</v>
      </c>
      <c r="E40" s="11">
        <f t="shared" si="3"/>
        <v>2013</v>
      </c>
      <c r="F40" s="96">
        <f>LOOKUP(E40,Total_wind_installed_capacity!$A$3:$A$28,Total_wind_installed_capacity!$H$3:$H$28)</f>
        <v>310.36672750000002</v>
      </c>
      <c r="G40" s="95" t="s">
        <v>27</v>
      </c>
      <c r="H40" s="101" t="s">
        <v>22</v>
      </c>
      <c r="I40" s="95" t="s">
        <v>477</v>
      </c>
      <c r="J40" s="172">
        <v>3000</v>
      </c>
      <c r="K40" s="95">
        <f t="shared" si="4"/>
        <v>100</v>
      </c>
      <c r="L40" s="173">
        <f t="shared" si="16"/>
        <v>300000</v>
      </c>
      <c r="M40" s="95" t="s">
        <v>478</v>
      </c>
      <c r="N40" s="95" t="s">
        <v>483</v>
      </c>
      <c r="P40" s="95" t="s">
        <v>359</v>
      </c>
      <c r="R40" s="95">
        <v>100</v>
      </c>
      <c r="S40" s="101" t="s">
        <v>356</v>
      </c>
      <c r="T40" s="172">
        <f>10.34*1000000000</f>
        <v>10340000000</v>
      </c>
      <c r="V40" s="174">
        <f t="shared" si="5"/>
        <v>2872222222.2222223</v>
      </c>
      <c r="X40" s="175">
        <f t="shared" si="0"/>
        <v>34.466666666666661</v>
      </c>
      <c r="Y40" s="175"/>
      <c r="Z40" s="175">
        <f t="shared" si="6"/>
        <v>9.5740740740740726</v>
      </c>
      <c r="AA40" s="175"/>
      <c r="AK40" s="177">
        <f t="shared" si="17"/>
        <v>0.31582952815829529</v>
      </c>
      <c r="AL40" s="171">
        <f t="shared" si="7"/>
        <v>830000000</v>
      </c>
      <c r="AN40" s="95">
        <v>20</v>
      </c>
      <c r="AO40" s="172">
        <f>1.66*10000000*1000</f>
        <v>16600000000</v>
      </c>
      <c r="AP40" s="199">
        <f t="shared" si="8"/>
        <v>55333333.333333336</v>
      </c>
      <c r="AW40" s="102">
        <f t="shared" si="11"/>
        <v>0.17302543507362786</v>
      </c>
      <c r="AY40" s="99">
        <f t="shared" si="12"/>
        <v>3.4605087014725573</v>
      </c>
      <c r="BC40" s="95" t="s">
        <v>485</v>
      </c>
    </row>
    <row r="41" spans="1:55">
      <c r="A41" s="95" t="str">
        <f t="shared" si="2"/>
        <v>\cite{Tsai2013}</v>
      </c>
      <c r="B41" s="95" t="s">
        <v>476</v>
      </c>
      <c r="C41" s="95">
        <v>2013</v>
      </c>
      <c r="E41" s="11">
        <f t="shared" si="3"/>
        <v>2013</v>
      </c>
      <c r="F41" s="96">
        <f>LOOKUP(E41,Total_wind_installed_capacity!$A$3:$A$28,Total_wind_installed_capacity!$H$3:$H$28)</f>
        <v>310.36672750000002</v>
      </c>
      <c r="G41" s="95" t="s">
        <v>27</v>
      </c>
      <c r="H41" s="101" t="s">
        <v>22</v>
      </c>
      <c r="I41" s="95" t="s">
        <v>477</v>
      </c>
      <c r="J41" s="172">
        <v>3000</v>
      </c>
      <c r="K41" s="95">
        <f t="shared" si="4"/>
        <v>100</v>
      </c>
      <c r="L41" s="173">
        <f t="shared" si="16"/>
        <v>300000</v>
      </c>
      <c r="M41" s="95" t="s">
        <v>478</v>
      </c>
      <c r="N41" s="95" t="s">
        <v>486</v>
      </c>
      <c r="P41" s="95" t="s">
        <v>359</v>
      </c>
      <c r="R41" s="95">
        <v>100</v>
      </c>
      <c r="S41" s="101" t="s">
        <v>356</v>
      </c>
      <c r="T41" s="172">
        <f>9.4*1000000000</f>
        <v>9400000000</v>
      </c>
      <c r="V41" s="174">
        <f t="shared" si="5"/>
        <v>2611111111.1111112</v>
      </c>
      <c r="X41" s="175">
        <f t="shared" si="0"/>
        <v>31.333333333333332</v>
      </c>
      <c r="Y41" s="175"/>
      <c r="Z41" s="175">
        <f t="shared" si="6"/>
        <v>8.7037037037037024</v>
      </c>
      <c r="AA41" s="175"/>
      <c r="AK41" s="177">
        <f t="shared" si="17"/>
        <v>0.32724505327245051</v>
      </c>
      <c r="AL41" s="171">
        <f t="shared" si="7"/>
        <v>859999999.99999988</v>
      </c>
      <c r="AN41" s="95">
        <v>20</v>
      </c>
      <c r="AO41" s="172">
        <f>1.72*10000000*1000</f>
        <v>17200000000</v>
      </c>
      <c r="AP41" s="199">
        <f t="shared" si="8"/>
        <v>57333333.333333336</v>
      </c>
      <c r="AW41" s="102">
        <f t="shared" si="11"/>
        <v>0.15180878552971577</v>
      </c>
      <c r="AY41" s="99">
        <f t="shared" si="12"/>
        <v>3.0361757105943155</v>
      </c>
      <c r="BC41" s="95" t="s">
        <v>487</v>
      </c>
    </row>
    <row r="42" spans="1:55">
      <c r="A42" s="95" t="str">
        <f t="shared" si="2"/>
        <v>\cite{Tsai2013}</v>
      </c>
      <c r="B42" s="95" t="s">
        <v>476</v>
      </c>
      <c r="C42" s="95">
        <v>2013</v>
      </c>
      <c r="E42" s="11">
        <f t="shared" si="3"/>
        <v>2013</v>
      </c>
      <c r="F42" s="96">
        <f>LOOKUP(E42,Total_wind_installed_capacity!$A$3:$A$28,Total_wind_installed_capacity!$H$3:$H$28)</f>
        <v>310.36672750000002</v>
      </c>
      <c r="G42" s="95" t="s">
        <v>27</v>
      </c>
      <c r="H42" s="101" t="s">
        <v>22</v>
      </c>
      <c r="I42" s="95" t="s">
        <v>477</v>
      </c>
      <c r="J42" s="172">
        <v>3000</v>
      </c>
      <c r="K42" s="95">
        <f t="shared" si="4"/>
        <v>100</v>
      </c>
      <c r="L42" s="173">
        <f t="shared" si="16"/>
        <v>300000</v>
      </c>
      <c r="M42" s="95" t="s">
        <v>478</v>
      </c>
      <c r="N42" s="95" t="s">
        <v>481</v>
      </c>
      <c r="P42" s="95" t="s">
        <v>359</v>
      </c>
      <c r="R42" s="95">
        <v>100</v>
      </c>
      <c r="S42" s="101" t="s">
        <v>356</v>
      </c>
      <c r="T42" s="172">
        <f>5.98*1000000000</f>
        <v>5980000000</v>
      </c>
      <c r="V42" s="174">
        <f t="shared" si="5"/>
        <v>1661111111.1111112</v>
      </c>
      <c r="X42" s="175">
        <f t="shared" si="0"/>
        <v>19.933333333333334</v>
      </c>
      <c r="Y42" s="175"/>
      <c r="Z42" s="175">
        <f t="shared" si="6"/>
        <v>5.5370370370370372</v>
      </c>
      <c r="AA42" s="175"/>
      <c r="AK42" s="177">
        <f t="shared" si="17"/>
        <v>0.31012176560121762</v>
      </c>
      <c r="AL42" s="171">
        <f t="shared" si="7"/>
        <v>814999999.99999988</v>
      </c>
      <c r="AN42" s="95">
        <v>20</v>
      </c>
      <c r="AO42" s="172">
        <f>1.63*10000000*1000</f>
        <v>16299999999.999998</v>
      </c>
      <c r="AP42" s="199">
        <f t="shared" si="8"/>
        <v>54333333.333333328</v>
      </c>
      <c r="AW42" s="102">
        <f t="shared" si="11"/>
        <v>0.10190865712338107</v>
      </c>
      <c r="AY42" s="99">
        <f t="shared" si="12"/>
        <v>2.0381731424676213</v>
      </c>
      <c r="BC42" s="95" t="s">
        <v>480</v>
      </c>
    </row>
    <row r="43" spans="1:55">
      <c r="A43" s="95" t="str">
        <f t="shared" si="2"/>
        <v>\cite{Tsai2013}</v>
      </c>
      <c r="B43" s="95" t="s">
        <v>476</v>
      </c>
      <c r="C43" s="95">
        <v>2013</v>
      </c>
      <c r="E43" s="11">
        <f t="shared" si="3"/>
        <v>2013</v>
      </c>
      <c r="F43" s="96">
        <f>LOOKUP(E43,Total_wind_installed_capacity!$A$3:$A$28,Total_wind_installed_capacity!$H$3:$H$28)</f>
        <v>310.36672750000002</v>
      </c>
      <c r="G43" s="95" t="s">
        <v>27</v>
      </c>
      <c r="H43" s="101" t="s">
        <v>22</v>
      </c>
      <c r="I43" s="95" t="s">
        <v>477</v>
      </c>
      <c r="J43" s="172">
        <v>3000</v>
      </c>
      <c r="K43" s="95">
        <f t="shared" si="4"/>
        <v>100</v>
      </c>
      <c r="L43" s="173">
        <f t="shared" si="16"/>
        <v>300000</v>
      </c>
      <c r="M43" s="95" t="s">
        <v>478</v>
      </c>
      <c r="N43" s="95" t="s">
        <v>486</v>
      </c>
      <c r="P43" s="95" t="s">
        <v>359</v>
      </c>
      <c r="R43" s="95">
        <v>100</v>
      </c>
      <c r="S43" s="101" t="s">
        <v>356</v>
      </c>
      <c r="T43" s="172">
        <f>8.19*1000000000</f>
        <v>8189999999.999999</v>
      </c>
      <c r="V43" s="174">
        <f t="shared" si="5"/>
        <v>2274999999.9999995</v>
      </c>
      <c r="X43" s="175">
        <f t="shared" si="0"/>
        <v>27.299999999999997</v>
      </c>
      <c r="Y43" s="175"/>
      <c r="Z43" s="175">
        <f t="shared" si="6"/>
        <v>7.5833333333333321</v>
      </c>
      <c r="AA43" s="175"/>
      <c r="AK43" s="177">
        <f t="shared" si="17"/>
        <v>0.33295281582952818</v>
      </c>
      <c r="AL43" s="171">
        <f t="shared" si="7"/>
        <v>875000000</v>
      </c>
      <c r="AN43" s="95">
        <v>20</v>
      </c>
      <c r="AO43" s="172">
        <f>1.75*10000000*1000</f>
        <v>17500000000</v>
      </c>
      <c r="AP43" s="199">
        <f t="shared" si="8"/>
        <v>58333333.333333336</v>
      </c>
      <c r="AW43" s="102">
        <f t="shared" si="11"/>
        <v>0.12999999999999998</v>
      </c>
      <c r="AY43" s="99">
        <f t="shared" si="12"/>
        <v>2.5999999999999996</v>
      </c>
      <c r="BC43" s="95" t="s">
        <v>482</v>
      </c>
    </row>
    <row r="44" spans="1:55">
      <c r="A44" s="95" t="str">
        <f t="shared" si="2"/>
        <v>\cite{Tsai2013}</v>
      </c>
      <c r="B44" s="95" t="s">
        <v>476</v>
      </c>
      <c r="C44" s="95">
        <v>2013</v>
      </c>
      <c r="E44" s="11">
        <f t="shared" si="3"/>
        <v>2013</v>
      </c>
      <c r="F44" s="96">
        <f>LOOKUP(E44,Total_wind_installed_capacity!$A$3:$A$28,Total_wind_installed_capacity!$H$3:$H$28)</f>
        <v>310.36672750000002</v>
      </c>
      <c r="G44" s="95" t="s">
        <v>27</v>
      </c>
      <c r="H44" s="101" t="s">
        <v>22</v>
      </c>
      <c r="I44" s="95" t="s">
        <v>477</v>
      </c>
      <c r="J44" s="172">
        <v>3000</v>
      </c>
      <c r="K44" s="95">
        <f t="shared" si="4"/>
        <v>100</v>
      </c>
      <c r="L44" s="173">
        <f t="shared" si="16"/>
        <v>300000</v>
      </c>
      <c r="M44" s="95" t="s">
        <v>478</v>
      </c>
      <c r="N44" s="95" t="s">
        <v>486</v>
      </c>
      <c r="P44" s="95" t="s">
        <v>359</v>
      </c>
      <c r="R44" s="95">
        <v>100</v>
      </c>
      <c r="S44" s="101" t="s">
        <v>356</v>
      </c>
      <c r="T44" s="172">
        <f>8.5*1000000000</f>
        <v>8500000000</v>
      </c>
      <c r="V44" s="174">
        <f t="shared" si="5"/>
        <v>2361111111.1111112</v>
      </c>
      <c r="X44" s="175">
        <f t="shared" si="0"/>
        <v>28.333333333333332</v>
      </c>
      <c r="Y44" s="175"/>
      <c r="Z44" s="175">
        <f t="shared" si="6"/>
        <v>7.8703703703703702</v>
      </c>
      <c r="AA44" s="175"/>
      <c r="AK44" s="177">
        <f t="shared" si="17"/>
        <v>0.3443683409436834</v>
      </c>
      <c r="AL44" s="171">
        <f t="shared" si="7"/>
        <v>904999999.99999988</v>
      </c>
      <c r="AN44" s="95">
        <v>20</v>
      </c>
      <c r="AO44" s="172">
        <f>1.81*10000000*1000</f>
        <v>18100000000</v>
      </c>
      <c r="AP44" s="199">
        <f t="shared" si="8"/>
        <v>60333333.333333336</v>
      </c>
      <c r="AW44" s="102">
        <f t="shared" si="11"/>
        <v>0.13044812768569675</v>
      </c>
      <c r="AY44" s="99">
        <f t="shared" si="12"/>
        <v>2.6089625537139352</v>
      </c>
      <c r="BC44" s="95" t="s">
        <v>484</v>
      </c>
    </row>
    <row r="45" spans="1:55">
      <c r="A45" s="95" t="str">
        <f t="shared" si="2"/>
        <v>\cite{Tsai2013}</v>
      </c>
      <c r="B45" s="95" t="s">
        <v>476</v>
      </c>
      <c r="C45" s="95">
        <v>2013</v>
      </c>
      <c r="E45" s="11">
        <f t="shared" si="3"/>
        <v>2013</v>
      </c>
      <c r="F45" s="96">
        <f>LOOKUP(E45,Total_wind_installed_capacity!$A$3:$A$28,Total_wind_installed_capacity!$H$3:$H$28)</f>
        <v>310.36672750000002</v>
      </c>
      <c r="G45" s="95" t="s">
        <v>27</v>
      </c>
      <c r="H45" s="101" t="s">
        <v>22</v>
      </c>
      <c r="I45" s="95" t="s">
        <v>477</v>
      </c>
      <c r="J45" s="172">
        <v>3000</v>
      </c>
      <c r="K45" s="95">
        <f t="shared" si="4"/>
        <v>100</v>
      </c>
      <c r="L45" s="173">
        <f t="shared" si="16"/>
        <v>300000</v>
      </c>
      <c r="M45" s="95" t="s">
        <v>478</v>
      </c>
      <c r="N45" s="95" t="s">
        <v>486</v>
      </c>
      <c r="P45" s="95" t="s">
        <v>359</v>
      </c>
      <c r="R45" s="95">
        <v>100</v>
      </c>
      <c r="S45" s="101" t="s">
        <v>356</v>
      </c>
      <c r="T45" s="172">
        <f>8.81*1000000000</f>
        <v>8810000000</v>
      </c>
      <c r="V45" s="174">
        <f t="shared" si="5"/>
        <v>2447222222.2222223</v>
      </c>
      <c r="X45" s="175">
        <f t="shared" si="0"/>
        <v>29.366666666666667</v>
      </c>
      <c r="Y45" s="175"/>
      <c r="Z45" s="175">
        <f t="shared" si="6"/>
        <v>8.1574074074074066</v>
      </c>
      <c r="AA45" s="175"/>
      <c r="AK45" s="177">
        <f t="shared" si="17"/>
        <v>0.34817351598173518</v>
      </c>
      <c r="AL45" s="171">
        <f t="shared" si="7"/>
        <v>915000000.00000012</v>
      </c>
      <c r="AN45" s="95">
        <v>20</v>
      </c>
      <c r="AO45" s="172">
        <f>1.83*10000000*1000</f>
        <v>18300000000</v>
      </c>
      <c r="AP45" s="199">
        <f t="shared" si="8"/>
        <v>61000000</v>
      </c>
      <c r="AW45" s="102">
        <f t="shared" si="11"/>
        <v>0.13372799028536733</v>
      </c>
      <c r="AY45" s="99">
        <f t="shared" si="12"/>
        <v>2.6745598057073465</v>
      </c>
      <c r="BC45" s="95" t="s">
        <v>485</v>
      </c>
    </row>
    <row r="46" spans="1:55">
      <c r="A46" s="95" t="str">
        <f t="shared" si="2"/>
        <v>\cite{Tsai2013}</v>
      </c>
      <c r="B46" s="95" t="s">
        <v>476</v>
      </c>
      <c r="C46" s="95">
        <v>2013</v>
      </c>
      <c r="E46" s="11">
        <f t="shared" si="3"/>
        <v>2013</v>
      </c>
      <c r="F46" s="96">
        <f>LOOKUP(E46,Total_wind_installed_capacity!$A$3:$A$28,Total_wind_installed_capacity!$H$3:$H$28)</f>
        <v>310.36672750000002</v>
      </c>
      <c r="G46" s="95" t="s">
        <v>27</v>
      </c>
      <c r="H46" s="101" t="s">
        <v>22</v>
      </c>
      <c r="I46" s="95" t="s">
        <v>477</v>
      </c>
      <c r="J46" s="172">
        <v>3000</v>
      </c>
      <c r="K46" s="95">
        <f t="shared" si="4"/>
        <v>100</v>
      </c>
      <c r="L46" s="173">
        <f t="shared" si="16"/>
        <v>300000</v>
      </c>
      <c r="M46" s="95" t="s">
        <v>478</v>
      </c>
      <c r="N46" s="95" t="s">
        <v>486</v>
      </c>
      <c r="P46" s="95" t="s">
        <v>359</v>
      </c>
      <c r="R46" s="95">
        <v>100</v>
      </c>
      <c r="S46" s="101" t="s">
        <v>356</v>
      </c>
      <c r="T46" s="172">
        <f>9.41*1000000000</f>
        <v>9410000000</v>
      </c>
      <c r="V46" s="174">
        <f t="shared" si="5"/>
        <v>2613888888.8888888</v>
      </c>
      <c r="X46" s="175">
        <f t="shared" si="0"/>
        <v>31.366666666666667</v>
      </c>
      <c r="Y46" s="175"/>
      <c r="Z46" s="175">
        <f t="shared" si="6"/>
        <v>8.7129629629629637</v>
      </c>
      <c r="AA46" s="175"/>
      <c r="AK46" s="177">
        <f t="shared" si="17"/>
        <v>0.3519786910197869</v>
      </c>
      <c r="AL46" s="171">
        <f t="shared" si="7"/>
        <v>924999999.99999988</v>
      </c>
      <c r="AN46" s="95">
        <v>20</v>
      </c>
      <c r="AO46" s="172">
        <f>1.85*10000000*1000</f>
        <v>18500000000</v>
      </c>
      <c r="AP46" s="199">
        <f t="shared" si="8"/>
        <v>61666666.666666664</v>
      </c>
      <c r="AW46" s="102">
        <f t="shared" si="11"/>
        <v>0.14129129129129128</v>
      </c>
      <c r="AY46" s="99">
        <f t="shared" si="12"/>
        <v>2.8258258258258255</v>
      </c>
      <c r="BC46" s="95" t="s">
        <v>487</v>
      </c>
    </row>
    <row r="47" spans="1:55">
      <c r="A47" s="95" t="str">
        <f t="shared" si="2"/>
        <v>\cite{Tsai2013}</v>
      </c>
      <c r="B47" s="95" t="s">
        <v>476</v>
      </c>
      <c r="C47" s="97">
        <v>2013</v>
      </c>
      <c r="D47" s="97"/>
      <c r="E47" s="11">
        <f t="shared" si="3"/>
        <v>2013</v>
      </c>
      <c r="F47" s="96">
        <f>LOOKUP(E47,Total_wind_installed_capacity!$A$3:$A$28,Total_wind_installed_capacity!$H$3:$H$28)</f>
        <v>310.36672750000002</v>
      </c>
      <c r="G47" s="97" t="s">
        <v>27</v>
      </c>
      <c r="H47" s="180" t="s">
        <v>22</v>
      </c>
      <c r="I47" s="97" t="s">
        <v>477</v>
      </c>
      <c r="J47" s="172">
        <v>3000</v>
      </c>
      <c r="K47" s="95">
        <f t="shared" si="4"/>
        <v>100</v>
      </c>
      <c r="L47" s="173">
        <v>300000</v>
      </c>
      <c r="M47" s="97" t="s">
        <v>478</v>
      </c>
      <c r="N47" s="95" t="s">
        <v>481</v>
      </c>
      <c r="O47" s="97"/>
      <c r="P47" s="95" t="s">
        <v>359</v>
      </c>
      <c r="Q47" s="97"/>
      <c r="R47" s="97">
        <v>100</v>
      </c>
      <c r="S47" s="180" t="s">
        <v>356</v>
      </c>
      <c r="T47" s="172">
        <f>5.97*1000000000</f>
        <v>5970000000</v>
      </c>
      <c r="U47" s="97"/>
      <c r="V47" s="174">
        <f t="shared" si="5"/>
        <v>1658333333.3333333</v>
      </c>
      <c r="W47" s="97"/>
      <c r="X47" s="175">
        <f t="shared" si="0"/>
        <v>19.899999999999999</v>
      </c>
      <c r="Y47" s="175"/>
      <c r="Z47" s="175">
        <f t="shared" si="6"/>
        <v>5.5277777777777777</v>
      </c>
      <c r="AA47" s="175"/>
      <c r="AB47" s="97"/>
      <c r="AC47" s="97"/>
      <c r="AD47" s="97"/>
      <c r="AE47" s="97"/>
      <c r="AF47" s="180"/>
      <c r="AG47" s="97"/>
      <c r="AH47" s="97"/>
      <c r="AI47" s="97"/>
      <c r="AJ47" s="180"/>
      <c r="AK47" s="177">
        <f t="shared" si="17"/>
        <v>0.31202435312024351</v>
      </c>
      <c r="AL47" s="171">
        <f t="shared" si="7"/>
        <v>820000000</v>
      </c>
      <c r="AN47" s="97">
        <v>20</v>
      </c>
      <c r="AO47" s="172">
        <f>1.64*10000000*1000</f>
        <v>16399999999.999998</v>
      </c>
      <c r="AP47" s="199">
        <f t="shared" si="8"/>
        <v>54666666.666666657</v>
      </c>
      <c r="AQ47" s="97"/>
      <c r="AR47" s="97"/>
      <c r="AS47" s="97"/>
      <c r="AT47" s="97"/>
      <c r="AU47" s="97"/>
      <c r="AV47" s="97"/>
      <c r="AW47" s="102">
        <f t="shared" si="11"/>
        <v>0.10111788617886179</v>
      </c>
      <c r="AX47" s="97"/>
      <c r="AY47" s="99">
        <f t="shared" si="12"/>
        <v>2.0223577235772359</v>
      </c>
      <c r="AZ47" s="97"/>
      <c r="BA47" s="97"/>
      <c r="BB47" s="97"/>
      <c r="BC47" s="95" t="s">
        <v>480</v>
      </c>
    </row>
    <row r="48" spans="1:55">
      <c r="A48" s="95" t="str">
        <f t="shared" si="2"/>
        <v>\cite{Tsai2013}</v>
      </c>
      <c r="B48" s="95" t="s">
        <v>476</v>
      </c>
      <c r="C48" s="97">
        <v>2013</v>
      </c>
      <c r="D48" s="97"/>
      <c r="E48" s="11">
        <f t="shared" si="3"/>
        <v>2013</v>
      </c>
      <c r="F48" s="96">
        <f>LOOKUP(E48,Total_wind_installed_capacity!$A$3:$A$28,Total_wind_installed_capacity!$H$3:$H$28)</f>
        <v>310.36672750000002</v>
      </c>
      <c r="G48" s="97" t="s">
        <v>27</v>
      </c>
      <c r="H48" s="180" t="s">
        <v>22</v>
      </c>
      <c r="I48" s="97" t="s">
        <v>477</v>
      </c>
      <c r="J48" s="172">
        <v>3000</v>
      </c>
      <c r="K48" s="95">
        <f t="shared" si="4"/>
        <v>100</v>
      </c>
      <c r="L48" s="173">
        <v>300000</v>
      </c>
      <c r="M48" s="97" t="s">
        <v>478</v>
      </c>
      <c r="N48" s="95" t="s">
        <v>483</v>
      </c>
      <c r="O48" s="97"/>
      <c r="P48" s="95" t="s">
        <v>359</v>
      </c>
      <c r="Q48" s="97"/>
      <c r="R48" s="97">
        <v>100</v>
      </c>
      <c r="S48" s="180" t="s">
        <v>356</v>
      </c>
      <c r="T48" s="172">
        <f>9.75*1000000000</f>
        <v>9750000000</v>
      </c>
      <c r="U48" s="97"/>
      <c r="V48" s="174">
        <f t="shared" si="5"/>
        <v>2708333333.3333335</v>
      </c>
      <c r="W48" s="97"/>
      <c r="X48" s="175">
        <f t="shared" si="0"/>
        <v>32.5</v>
      </c>
      <c r="Y48" s="175"/>
      <c r="Z48" s="175">
        <f t="shared" si="6"/>
        <v>9.0277777777777768</v>
      </c>
      <c r="AA48" s="175"/>
      <c r="AB48" s="97"/>
      <c r="AC48" s="97"/>
      <c r="AD48" s="97"/>
      <c r="AE48" s="97"/>
      <c r="AF48" s="180"/>
      <c r="AG48" s="97"/>
      <c r="AH48" s="97"/>
      <c r="AI48" s="97"/>
      <c r="AJ48" s="180"/>
      <c r="AK48" s="177">
        <f t="shared" si="17"/>
        <v>0.32534246575342468</v>
      </c>
      <c r="AL48" s="171">
        <f t="shared" si="7"/>
        <v>855000000</v>
      </c>
      <c r="AN48" s="97">
        <v>20</v>
      </c>
      <c r="AO48" s="172">
        <f>1.71*10000000*1000</f>
        <v>17100000000</v>
      </c>
      <c r="AP48" s="199">
        <f t="shared" si="8"/>
        <v>57000000</v>
      </c>
      <c r="AQ48" s="97"/>
      <c r="AR48" s="97"/>
      <c r="AS48" s="97"/>
      <c r="AT48" s="97"/>
      <c r="AU48" s="97"/>
      <c r="AV48" s="97"/>
      <c r="AW48" s="102">
        <f t="shared" si="11"/>
        <v>0.15838206627680312</v>
      </c>
      <c r="AX48" s="97"/>
      <c r="AY48" s="99">
        <f t="shared" si="12"/>
        <v>3.1676413255360627</v>
      </c>
      <c r="AZ48" s="97"/>
      <c r="BA48" s="97"/>
      <c r="BB48" s="97"/>
      <c r="BC48" s="95" t="s">
        <v>482</v>
      </c>
    </row>
    <row r="49" spans="1:55">
      <c r="A49" s="95" t="str">
        <f t="shared" si="2"/>
        <v>\cite{Tsai2013}</v>
      </c>
      <c r="B49" s="95" t="s">
        <v>476</v>
      </c>
      <c r="C49" s="97">
        <v>2013</v>
      </c>
      <c r="D49" s="97"/>
      <c r="E49" s="11">
        <f t="shared" si="3"/>
        <v>2013</v>
      </c>
      <c r="F49" s="96">
        <f>LOOKUP(E49,Total_wind_installed_capacity!$A$3:$A$28,Total_wind_installed_capacity!$H$3:$H$28)</f>
        <v>310.36672750000002</v>
      </c>
      <c r="G49" s="97" t="s">
        <v>27</v>
      </c>
      <c r="H49" s="180" t="s">
        <v>22</v>
      </c>
      <c r="I49" s="97" t="s">
        <v>477</v>
      </c>
      <c r="J49" s="172">
        <v>3000</v>
      </c>
      <c r="K49" s="95">
        <f t="shared" si="4"/>
        <v>100</v>
      </c>
      <c r="L49" s="173">
        <v>300000</v>
      </c>
      <c r="M49" s="97" t="s">
        <v>478</v>
      </c>
      <c r="N49" s="95" t="s">
        <v>486</v>
      </c>
      <c r="O49" s="97"/>
      <c r="P49" s="95" t="s">
        <v>359</v>
      </c>
      <c r="Q49" s="97"/>
      <c r="R49" s="97">
        <v>100</v>
      </c>
      <c r="S49" s="180" t="s">
        <v>356</v>
      </c>
      <c r="T49" s="172">
        <f>8.49*1000000000</f>
        <v>8490000000</v>
      </c>
      <c r="U49" s="97"/>
      <c r="V49" s="174">
        <f t="shared" si="5"/>
        <v>2358333333.3333335</v>
      </c>
      <c r="W49" s="97"/>
      <c r="X49" s="175">
        <f t="shared" si="0"/>
        <v>28.3</v>
      </c>
      <c r="Y49" s="175"/>
      <c r="Z49" s="175">
        <f t="shared" si="6"/>
        <v>7.8611111111111107</v>
      </c>
      <c r="AA49" s="175"/>
      <c r="AB49" s="97"/>
      <c r="AC49" s="97"/>
      <c r="AD49" s="97"/>
      <c r="AE49" s="97"/>
      <c r="AF49" s="180"/>
      <c r="AG49" s="97"/>
      <c r="AH49" s="97"/>
      <c r="AI49" s="97"/>
      <c r="AJ49" s="180"/>
      <c r="AK49" s="177">
        <f t="shared" si="17"/>
        <v>0.34246575342465752</v>
      </c>
      <c r="AL49" s="171">
        <f t="shared" si="7"/>
        <v>899999999.99999988</v>
      </c>
      <c r="AN49" s="97">
        <v>20</v>
      </c>
      <c r="AO49" s="172">
        <f>1.8*10000000*1000</f>
        <v>18000000000</v>
      </c>
      <c r="AP49" s="199">
        <f t="shared" si="8"/>
        <v>60000000</v>
      </c>
      <c r="AQ49" s="97"/>
      <c r="AR49" s="97"/>
      <c r="AS49" s="97"/>
      <c r="AT49" s="97"/>
      <c r="AU49" s="97"/>
      <c r="AV49" s="97"/>
      <c r="AW49" s="102">
        <f t="shared" si="11"/>
        <v>0.13101851851851853</v>
      </c>
      <c r="AX49" s="97"/>
      <c r="AY49" s="99">
        <f t="shared" si="12"/>
        <v>2.6203703703703707</v>
      </c>
      <c r="AZ49" s="97"/>
      <c r="BA49" s="97"/>
      <c r="BB49" s="97"/>
      <c r="BC49" s="95" t="s">
        <v>484</v>
      </c>
    </row>
    <row r="50" spans="1:55">
      <c r="A50" s="95" t="str">
        <f t="shared" si="2"/>
        <v>\cite{Tsai2013}</v>
      </c>
      <c r="B50" s="95" t="s">
        <v>476</v>
      </c>
      <c r="C50" s="97">
        <v>2013</v>
      </c>
      <c r="D50" s="97"/>
      <c r="E50" s="11">
        <f t="shared" si="3"/>
        <v>2013</v>
      </c>
      <c r="F50" s="96">
        <f>LOOKUP(E50,Total_wind_installed_capacity!$A$3:$A$28,Total_wind_installed_capacity!$H$3:$H$28)</f>
        <v>310.36672750000002</v>
      </c>
      <c r="G50" s="97" t="s">
        <v>27</v>
      </c>
      <c r="H50" s="180" t="s">
        <v>22</v>
      </c>
      <c r="I50" s="97" t="s">
        <v>477</v>
      </c>
      <c r="J50" s="172">
        <v>3000</v>
      </c>
      <c r="K50" s="95">
        <f t="shared" si="4"/>
        <v>100</v>
      </c>
      <c r="L50" s="173">
        <v>300000</v>
      </c>
      <c r="M50" s="97" t="s">
        <v>478</v>
      </c>
      <c r="N50" s="95" t="s">
        <v>486</v>
      </c>
      <c r="O50" s="97"/>
      <c r="P50" s="95" t="s">
        <v>359</v>
      </c>
      <c r="Q50" s="97"/>
      <c r="R50" s="97">
        <v>100</v>
      </c>
      <c r="S50" s="180" t="s">
        <v>356</v>
      </c>
      <c r="T50" s="172">
        <f>8.8*1000000000</f>
        <v>8800000000</v>
      </c>
      <c r="U50" s="97"/>
      <c r="V50" s="174">
        <f t="shared" si="5"/>
        <v>2444444444.4444442</v>
      </c>
      <c r="W50" s="97"/>
      <c r="X50" s="175">
        <f t="shared" si="0"/>
        <v>29.333333333333332</v>
      </c>
      <c r="Y50" s="175"/>
      <c r="Z50" s="175">
        <f t="shared" si="6"/>
        <v>8.148148148148147</v>
      </c>
      <c r="AA50" s="175"/>
      <c r="AB50" s="97"/>
      <c r="AC50" s="97"/>
      <c r="AD50" s="97"/>
      <c r="AE50" s="97"/>
      <c r="AF50" s="180"/>
      <c r="AG50" s="97"/>
      <c r="AH50" s="97"/>
      <c r="AI50" s="97"/>
      <c r="AJ50" s="180"/>
      <c r="AK50" s="177">
        <f t="shared" si="17"/>
        <v>0.34627092846270929</v>
      </c>
      <c r="AL50" s="171">
        <f t="shared" si="7"/>
        <v>910000000</v>
      </c>
      <c r="AN50" s="97">
        <v>20</v>
      </c>
      <c r="AO50" s="172">
        <f>1.82*10000000*1000</f>
        <v>18200000000</v>
      </c>
      <c r="AP50" s="199">
        <f t="shared" si="8"/>
        <v>60666666.666666664</v>
      </c>
      <c r="AQ50" s="97"/>
      <c r="AR50" s="97"/>
      <c r="AS50" s="97"/>
      <c r="AT50" s="97"/>
      <c r="AU50" s="97"/>
      <c r="AV50" s="97"/>
      <c r="AW50" s="102">
        <f t="shared" si="11"/>
        <v>0.1343101343101343</v>
      </c>
      <c r="AX50" s="97"/>
      <c r="AY50" s="99">
        <f t="shared" si="12"/>
        <v>2.686202686202686</v>
      </c>
      <c r="AZ50" s="97"/>
      <c r="BA50" s="97"/>
      <c r="BB50" s="97"/>
      <c r="BC50" s="95" t="s">
        <v>485</v>
      </c>
    </row>
    <row r="51" spans="1:55">
      <c r="A51" s="95" t="str">
        <f t="shared" si="2"/>
        <v>\cite{Tsai2013}</v>
      </c>
      <c r="B51" s="95" t="s">
        <v>476</v>
      </c>
      <c r="C51" s="97">
        <v>2013</v>
      </c>
      <c r="D51" s="97"/>
      <c r="E51" s="11">
        <f t="shared" si="3"/>
        <v>2013</v>
      </c>
      <c r="F51" s="96">
        <f>LOOKUP(E51,Total_wind_installed_capacity!$A$3:$A$28,Total_wind_installed_capacity!$H$3:$H$28)</f>
        <v>310.36672750000002</v>
      </c>
      <c r="G51" s="97" t="s">
        <v>27</v>
      </c>
      <c r="H51" s="180" t="s">
        <v>22</v>
      </c>
      <c r="I51" s="97" t="s">
        <v>477</v>
      </c>
      <c r="J51" s="172">
        <v>3000</v>
      </c>
      <c r="K51" s="95">
        <f t="shared" si="4"/>
        <v>100</v>
      </c>
      <c r="L51" s="173">
        <v>300000</v>
      </c>
      <c r="M51" s="97" t="s">
        <v>478</v>
      </c>
      <c r="N51" s="95" t="s">
        <v>486</v>
      </c>
      <c r="O51" s="97"/>
      <c r="P51" s="95" t="s">
        <v>359</v>
      </c>
      <c r="Q51" s="97"/>
      <c r="R51" s="97">
        <v>100</v>
      </c>
      <c r="S51" s="180" t="s">
        <v>356</v>
      </c>
      <c r="T51" s="172">
        <f>9.41*1000000000</f>
        <v>9410000000</v>
      </c>
      <c r="U51" s="97"/>
      <c r="V51" s="174">
        <f t="shared" si="5"/>
        <v>2613888888.8888888</v>
      </c>
      <c r="W51" s="97"/>
      <c r="X51" s="175">
        <f t="shared" si="0"/>
        <v>31.366666666666667</v>
      </c>
      <c r="Y51" s="175"/>
      <c r="Z51" s="175">
        <f t="shared" si="6"/>
        <v>8.7129629629629637</v>
      </c>
      <c r="AA51" s="175"/>
      <c r="AB51" s="97"/>
      <c r="AC51" s="97"/>
      <c r="AD51" s="97"/>
      <c r="AE51" s="97"/>
      <c r="AF51" s="180"/>
      <c r="AG51" s="97"/>
      <c r="AH51" s="97"/>
      <c r="AI51" s="97"/>
      <c r="AJ51" s="180"/>
      <c r="AK51" s="177">
        <f t="shared" si="17"/>
        <v>0.3519786910197869</v>
      </c>
      <c r="AL51" s="171">
        <f t="shared" si="7"/>
        <v>924999999.99999988</v>
      </c>
      <c r="AN51" s="97">
        <v>20</v>
      </c>
      <c r="AO51" s="172">
        <f>1.85*10000000*1000</f>
        <v>18500000000</v>
      </c>
      <c r="AP51" s="199">
        <f t="shared" si="8"/>
        <v>61666666.666666664</v>
      </c>
      <c r="AQ51" s="97"/>
      <c r="AR51" s="97"/>
      <c r="AS51" s="97"/>
      <c r="AT51" s="97"/>
      <c r="AU51" s="97"/>
      <c r="AV51" s="97"/>
      <c r="AW51" s="102">
        <f t="shared" si="11"/>
        <v>0.14129129129129128</v>
      </c>
      <c r="AX51" s="97"/>
      <c r="AY51" s="99">
        <f t="shared" si="12"/>
        <v>2.8258258258258255</v>
      </c>
      <c r="AZ51" s="97"/>
      <c r="BA51" s="97"/>
      <c r="BB51" s="97"/>
      <c r="BC51" s="95" t="s">
        <v>487</v>
      </c>
    </row>
    <row r="52" spans="1:55">
      <c r="A52" s="95" t="str">
        <f t="shared" si="2"/>
        <v>\cite{Tsai2013}</v>
      </c>
      <c r="B52" s="95" t="s">
        <v>476</v>
      </c>
      <c r="C52" s="97">
        <v>2013</v>
      </c>
      <c r="D52" s="97"/>
      <c r="E52" s="11">
        <f t="shared" si="3"/>
        <v>2013</v>
      </c>
      <c r="F52" s="96">
        <f>LOOKUP(E52,Total_wind_installed_capacity!$A$3:$A$28,Total_wind_installed_capacity!$H$3:$H$28)</f>
        <v>310.36672750000002</v>
      </c>
      <c r="G52" s="97" t="s">
        <v>27</v>
      </c>
      <c r="H52" s="180" t="s">
        <v>22</v>
      </c>
      <c r="I52" s="97" t="s">
        <v>477</v>
      </c>
      <c r="J52" s="172">
        <v>3000</v>
      </c>
      <c r="K52" s="95">
        <f t="shared" si="4"/>
        <v>100</v>
      </c>
      <c r="L52" s="173">
        <v>300000</v>
      </c>
      <c r="M52" s="97" t="s">
        <v>478</v>
      </c>
      <c r="N52" s="95" t="s">
        <v>479</v>
      </c>
      <c r="O52" s="97"/>
      <c r="P52" s="95" t="s">
        <v>359</v>
      </c>
      <c r="Q52" s="97"/>
      <c r="R52" s="97">
        <v>100</v>
      </c>
      <c r="S52" s="180" t="s">
        <v>356</v>
      </c>
      <c r="T52" s="172">
        <f>8.72*1000000000</f>
        <v>8720000000</v>
      </c>
      <c r="U52" s="97"/>
      <c r="V52" s="174">
        <f t="shared" si="5"/>
        <v>2422222222.2222223</v>
      </c>
      <c r="W52" s="97"/>
      <c r="X52" s="175">
        <f t="shared" si="0"/>
        <v>29.066666666666666</v>
      </c>
      <c r="Y52" s="175"/>
      <c r="Z52" s="175">
        <f t="shared" si="6"/>
        <v>8.0740740740740744</v>
      </c>
      <c r="AA52" s="175"/>
      <c r="AB52" s="97"/>
      <c r="AC52" s="97"/>
      <c r="AD52" s="97"/>
      <c r="AE52" s="97"/>
      <c r="AF52" s="180"/>
      <c r="AG52" s="97"/>
      <c r="AH52" s="97"/>
      <c r="AI52" s="97"/>
      <c r="AJ52" s="180"/>
      <c r="AK52" s="177">
        <f t="shared" si="17"/>
        <v>0.29299847792998479</v>
      </c>
      <c r="AL52" s="171">
        <f t="shared" si="7"/>
        <v>770000000</v>
      </c>
      <c r="AN52" s="97">
        <v>20</v>
      </c>
      <c r="AO52" s="172">
        <f>1.54*10000000*1000</f>
        <v>15400000000</v>
      </c>
      <c r="AP52" s="199">
        <f t="shared" si="8"/>
        <v>51333333.333333336</v>
      </c>
      <c r="AQ52" s="97"/>
      <c r="AR52" s="97"/>
      <c r="AS52" s="97"/>
      <c r="AT52" s="97"/>
      <c r="AU52" s="97"/>
      <c r="AV52" s="97"/>
      <c r="AW52" s="102">
        <f t="shared" si="11"/>
        <v>0.15728715728715728</v>
      </c>
      <c r="AX52" s="97"/>
      <c r="AY52" s="99">
        <f t="shared" si="12"/>
        <v>3.1457431457431455</v>
      </c>
      <c r="AZ52" s="97"/>
      <c r="BA52" s="97"/>
      <c r="BB52" s="97"/>
      <c r="BC52" s="95" t="s">
        <v>480</v>
      </c>
    </row>
    <row r="53" spans="1:55">
      <c r="A53" s="95" t="str">
        <f t="shared" si="2"/>
        <v>\cite{Tsai2013}</v>
      </c>
      <c r="B53" s="95" t="s">
        <v>476</v>
      </c>
      <c r="C53" s="97">
        <v>2013</v>
      </c>
      <c r="D53" s="97"/>
      <c r="E53" s="11">
        <f t="shared" si="3"/>
        <v>2013</v>
      </c>
      <c r="F53" s="96">
        <f>LOOKUP(E53,Total_wind_installed_capacity!$A$3:$A$28,Total_wind_installed_capacity!$H$3:$H$28)</f>
        <v>310.36672750000002</v>
      </c>
      <c r="G53" s="97" t="s">
        <v>27</v>
      </c>
      <c r="H53" s="180" t="s">
        <v>22</v>
      </c>
      <c r="I53" s="97" t="s">
        <v>477</v>
      </c>
      <c r="J53" s="172">
        <v>3000</v>
      </c>
      <c r="K53" s="95">
        <f t="shared" si="4"/>
        <v>100</v>
      </c>
      <c r="L53" s="173">
        <v>300000</v>
      </c>
      <c r="M53" s="97" t="s">
        <v>478</v>
      </c>
      <c r="N53" s="95" t="s">
        <v>481</v>
      </c>
      <c r="O53" s="97"/>
      <c r="P53" s="95" t="s">
        <v>359</v>
      </c>
      <c r="Q53" s="97"/>
      <c r="R53" s="97">
        <v>100</v>
      </c>
      <c r="S53" s="180" t="s">
        <v>356</v>
      </c>
      <c r="T53" s="172">
        <f>6.28*1000000000</f>
        <v>6280000000</v>
      </c>
      <c r="U53" s="97"/>
      <c r="V53" s="174">
        <f t="shared" si="5"/>
        <v>1744444444.4444444</v>
      </c>
      <c r="W53" s="97"/>
      <c r="X53" s="175">
        <f t="shared" si="0"/>
        <v>20.933333333333334</v>
      </c>
      <c r="Y53" s="175"/>
      <c r="Z53" s="175">
        <f t="shared" si="6"/>
        <v>5.8148148148148149</v>
      </c>
      <c r="AA53" s="175"/>
      <c r="AB53" s="97"/>
      <c r="AC53" s="97"/>
      <c r="AD53" s="97"/>
      <c r="AE53" s="97"/>
      <c r="AF53" s="180"/>
      <c r="AG53" s="97"/>
      <c r="AH53" s="97"/>
      <c r="AI53" s="97"/>
      <c r="AJ53" s="180"/>
      <c r="AK53" s="177">
        <f t="shared" si="17"/>
        <v>0.30251141552511418</v>
      </c>
      <c r="AL53" s="171">
        <f t="shared" si="7"/>
        <v>795000000.00000012</v>
      </c>
      <c r="AN53" s="97">
        <v>20</v>
      </c>
      <c r="AO53" s="172">
        <f>1.59*10000000*1000</f>
        <v>15900000000</v>
      </c>
      <c r="AP53" s="199">
        <f t="shared" si="8"/>
        <v>53000000</v>
      </c>
      <c r="AQ53" s="97"/>
      <c r="AR53" s="97"/>
      <c r="AS53" s="97"/>
      <c r="AT53" s="97"/>
      <c r="AU53" s="97"/>
      <c r="AV53" s="97"/>
      <c r="AW53" s="102">
        <f t="shared" si="11"/>
        <v>0.10971348707197763</v>
      </c>
      <c r="AX53" s="97"/>
      <c r="AY53" s="99">
        <f t="shared" si="12"/>
        <v>2.1942697414395527</v>
      </c>
      <c r="AZ53" s="97"/>
      <c r="BA53" s="97"/>
      <c r="BB53" s="97"/>
      <c r="BC53" s="95" t="s">
        <v>482</v>
      </c>
    </row>
    <row r="54" spans="1:55">
      <c r="A54" s="95" t="str">
        <f t="shared" si="2"/>
        <v>\cite{Tsai2013}</v>
      </c>
      <c r="B54" s="95" t="s">
        <v>476</v>
      </c>
      <c r="C54" s="97">
        <v>2013</v>
      </c>
      <c r="D54" s="97"/>
      <c r="E54" s="11">
        <f t="shared" si="3"/>
        <v>2013</v>
      </c>
      <c r="F54" s="96">
        <f>LOOKUP(E54,Total_wind_installed_capacity!$A$3:$A$28,Total_wind_installed_capacity!$H$3:$H$28)</f>
        <v>310.36672750000002</v>
      </c>
      <c r="G54" s="97" t="s">
        <v>27</v>
      </c>
      <c r="H54" s="180" t="s">
        <v>22</v>
      </c>
      <c r="I54" s="97" t="s">
        <v>477</v>
      </c>
      <c r="J54" s="172">
        <v>3000</v>
      </c>
      <c r="K54" s="95">
        <f t="shared" si="4"/>
        <v>100</v>
      </c>
      <c r="L54" s="173">
        <v>300000</v>
      </c>
      <c r="M54" s="97" t="s">
        <v>478</v>
      </c>
      <c r="N54" s="95" t="s">
        <v>483</v>
      </c>
      <c r="O54" s="97"/>
      <c r="P54" s="95" t="s">
        <v>359</v>
      </c>
      <c r="Q54" s="97"/>
      <c r="R54" s="97">
        <v>100</v>
      </c>
      <c r="S54" s="180" t="s">
        <v>356</v>
      </c>
      <c r="T54" s="172">
        <f>9.33*1000000000</f>
        <v>9330000000</v>
      </c>
      <c r="U54" s="97"/>
      <c r="V54" s="174">
        <f t="shared" si="5"/>
        <v>2591666666.6666665</v>
      </c>
      <c r="W54" s="97"/>
      <c r="X54" s="175">
        <f t="shared" si="0"/>
        <v>31.1</v>
      </c>
      <c r="Y54" s="175"/>
      <c r="Z54" s="175">
        <f t="shared" si="6"/>
        <v>8.6388888888888893</v>
      </c>
      <c r="AA54" s="175"/>
      <c r="AB54" s="97"/>
      <c r="AC54" s="97"/>
      <c r="AD54" s="97"/>
      <c r="AE54" s="97"/>
      <c r="AF54" s="180"/>
      <c r="AG54" s="97"/>
      <c r="AH54" s="97"/>
      <c r="AI54" s="97"/>
      <c r="AJ54" s="180"/>
      <c r="AK54" s="177">
        <f t="shared" si="17"/>
        <v>0.30441400304414001</v>
      </c>
      <c r="AL54" s="171">
        <f t="shared" si="7"/>
        <v>800000000</v>
      </c>
      <c r="AN54" s="97">
        <v>20</v>
      </c>
      <c r="AO54" s="172">
        <f>1.6*10000000*1000</f>
        <v>16000000000</v>
      </c>
      <c r="AP54" s="199">
        <f t="shared" si="8"/>
        <v>53333333.333333336</v>
      </c>
      <c r="AQ54" s="97"/>
      <c r="AR54" s="97"/>
      <c r="AS54" s="97"/>
      <c r="AT54" s="97"/>
      <c r="AU54" s="97"/>
      <c r="AV54" s="97"/>
      <c r="AW54" s="102">
        <f t="shared" si="11"/>
        <v>0.16197916666666665</v>
      </c>
      <c r="AX54" s="97"/>
      <c r="AY54" s="99">
        <f t="shared" si="12"/>
        <v>3.239583333333333</v>
      </c>
      <c r="AZ54" s="97"/>
      <c r="BA54" s="97"/>
      <c r="BB54" s="97"/>
      <c r="BC54" s="95" t="s">
        <v>484</v>
      </c>
    </row>
    <row r="55" spans="1:55">
      <c r="A55" s="95" t="str">
        <f t="shared" si="2"/>
        <v>\cite{Tsai2013}</v>
      </c>
      <c r="B55" s="95" t="s">
        <v>476</v>
      </c>
      <c r="C55" s="97">
        <v>2013</v>
      </c>
      <c r="D55" s="97"/>
      <c r="E55" s="11">
        <f t="shared" si="3"/>
        <v>2013</v>
      </c>
      <c r="F55" s="96">
        <f>LOOKUP(E55,Total_wind_installed_capacity!$A$3:$A$28,Total_wind_installed_capacity!$H$3:$H$28)</f>
        <v>310.36672750000002</v>
      </c>
      <c r="G55" s="97" t="s">
        <v>27</v>
      </c>
      <c r="H55" s="180" t="s">
        <v>22</v>
      </c>
      <c r="I55" s="97" t="s">
        <v>477</v>
      </c>
      <c r="J55" s="172">
        <v>3000</v>
      </c>
      <c r="K55" s="95">
        <f t="shared" si="4"/>
        <v>100</v>
      </c>
      <c r="L55" s="173">
        <v>300000</v>
      </c>
      <c r="M55" s="97" t="s">
        <v>478</v>
      </c>
      <c r="N55" s="95" t="s">
        <v>483</v>
      </c>
      <c r="O55" s="97"/>
      <c r="P55" s="95" t="s">
        <v>359</v>
      </c>
      <c r="Q55" s="97"/>
      <c r="R55" s="97">
        <v>100</v>
      </c>
      <c r="S55" s="180" t="s">
        <v>356</v>
      </c>
      <c r="T55" s="172">
        <f>9.63*1000000000</f>
        <v>9630000000</v>
      </c>
      <c r="U55" s="97"/>
      <c r="V55" s="174">
        <f t="shared" si="5"/>
        <v>2675000000</v>
      </c>
      <c r="W55" s="97"/>
      <c r="X55" s="175">
        <f t="shared" si="0"/>
        <v>32.1</v>
      </c>
      <c r="Y55" s="175"/>
      <c r="Z55" s="175">
        <f t="shared" si="6"/>
        <v>8.9166666666666661</v>
      </c>
      <c r="AA55" s="175"/>
      <c r="AB55" s="97"/>
      <c r="AC55" s="97"/>
      <c r="AD55" s="97"/>
      <c r="AE55" s="97"/>
      <c r="AF55" s="180"/>
      <c r="AG55" s="97"/>
      <c r="AH55" s="97"/>
      <c r="AI55" s="97"/>
      <c r="AJ55" s="180"/>
      <c r="AK55" s="177">
        <f t="shared" si="17"/>
        <v>0.30821917808219179</v>
      </c>
      <c r="AL55" s="171">
        <f t="shared" si="7"/>
        <v>810000000</v>
      </c>
      <c r="AN55" s="97">
        <v>20</v>
      </c>
      <c r="AO55" s="172">
        <f>1.62*10000000*1000</f>
        <v>16200000000.000002</v>
      </c>
      <c r="AP55" s="199">
        <f t="shared" si="8"/>
        <v>54000000.000000007</v>
      </c>
      <c r="AQ55" s="97"/>
      <c r="AR55" s="97"/>
      <c r="AS55" s="97"/>
      <c r="AT55" s="97"/>
      <c r="AU55" s="97"/>
      <c r="AV55" s="97"/>
      <c r="AW55" s="102">
        <f t="shared" si="11"/>
        <v>0.16512345679012344</v>
      </c>
      <c r="AX55" s="97"/>
      <c r="AY55" s="99">
        <f t="shared" si="12"/>
        <v>3.3024691358024687</v>
      </c>
      <c r="AZ55" s="97"/>
      <c r="BA55" s="97"/>
      <c r="BB55" s="97"/>
      <c r="BC55" s="95" t="s">
        <v>485</v>
      </c>
    </row>
    <row r="56" spans="1:55">
      <c r="A56" s="95" t="str">
        <f t="shared" si="2"/>
        <v>\cite{Tsai2013}</v>
      </c>
      <c r="B56" s="95" t="s">
        <v>476</v>
      </c>
      <c r="C56" s="97">
        <v>2013</v>
      </c>
      <c r="D56" s="97"/>
      <c r="E56" s="11">
        <f t="shared" si="3"/>
        <v>2013</v>
      </c>
      <c r="F56" s="96">
        <f>LOOKUP(E56,Total_wind_installed_capacity!$A$3:$A$28,Total_wind_installed_capacity!$H$3:$H$28)</f>
        <v>310.36672750000002</v>
      </c>
      <c r="G56" s="97" t="s">
        <v>27</v>
      </c>
      <c r="H56" s="180" t="s">
        <v>22</v>
      </c>
      <c r="I56" s="97" t="s">
        <v>477</v>
      </c>
      <c r="J56" s="172">
        <v>3000</v>
      </c>
      <c r="K56" s="95">
        <f t="shared" si="4"/>
        <v>100</v>
      </c>
      <c r="L56" s="173">
        <v>300000</v>
      </c>
      <c r="M56" s="97" t="s">
        <v>478</v>
      </c>
      <c r="N56" s="95" t="s">
        <v>483</v>
      </c>
      <c r="O56" s="97"/>
      <c r="P56" s="95" t="s">
        <v>359</v>
      </c>
      <c r="Q56" s="97"/>
      <c r="R56" s="97">
        <v>100</v>
      </c>
      <c r="S56" s="180" t="s">
        <v>356</v>
      </c>
      <c r="T56" s="172">
        <f>10.97*1000000000</f>
        <v>10970000000</v>
      </c>
      <c r="U56" s="97"/>
      <c r="V56" s="174">
        <f t="shared" si="5"/>
        <v>3047222222.2222223</v>
      </c>
      <c r="W56" s="97"/>
      <c r="X56" s="175">
        <f t="shared" si="0"/>
        <v>36.566666666666663</v>
      </c>
      <c r="Y56" s="175"/>
      <c r="Z56" s="175">
        <f t="shared" si="6"/>
        <v>10.157407407407407</v>
      </c>
      <c r="AA56" s="175"/>
      <c r="AB56" s="97"/>
      <c r="AC56" s="97"/>
      <c r="AD56" s="97"/>
      <c r="AE56" s="97"/>
      <c r="AF56" s="180"/>
      <c r="AG56" s="97"/>
      <c r="AH56" s="97"/>
      <c r="AI56" s="97"/>
      <c r="AJ56" s="180"/>
      <c r="AK56" s="177">
        <f t="shared" si="17"/>
        <v>0.31202435312024351</v>
      </c>
      <c r="AL56" s="171">
        <f t="shared" si="7"/>
        <v>820000000</v>
      </c>
      <c r="AN56" s="97">
        <v>20</v>
      </c>
      <c r="AO56" s="172">
        <f>1.64*10000000*1000</f>
        <v>16399999999.999998</v>
      </c>
      <c r="AP56" s="199">
        <f t="shared" si="8"/>
        <v>54666666.666666657</v>
      </c>
      <c r="AQ56" s="97"/>
      <c r="AR56" s="97"/>
      <c r="AS56" s="97"/>
      <c r="AT56" s="97"/>
      <c r="AU56" s="97"/>
      <c r="AV56" s="97"/>
      <c r="AW56" s="102">
        <f t="shared" si="11"/>
        <v>0.18580623306233066</v>
      </c>
      <c r="AX56" s="97"/>
      <c r="AY56" s="99">
        <f t="shared" si="12"/>
        <v>3.7161246612466132</v>
      </c>
      <c r="AZ56" s="97"/>
      <c r="BA56" s="97"/>
      <c r="BB56" s="97"/>
      <c r="BC56" s="95" t="s">
        <v>487</v>
      </c>
    </row>
    <row r="57" spans="1:55">
      <c r="A57" s="95" t="str">
        <f t="shared" si="2"/>
        <v>\cite{Marimuthu2013}</v>
      </c>
      <c r="B57" s="97" t="s">
        <v>488</v>
      </c>
      <c r="C57" s="97">
        <v>2013</v>
      </c>
      <c r="D57" s="97"/>
      <c r="E57" s="11">
        <f t="shared" si="3"/>
        <v>2013</v>
      </c>
      <c r="F57" s="96">
        <f>LOOKUP(E57,Total_wind_installed_capacity!$A$3:$A$28,Total_wind_installed_capacity!$H$3:$H$28)</f>
        <v>310.36672750000002</v>
      </c>
      <c r="G57" s="97" t="s">
        <v>404</v>
      </c>
      <c r="H57" s="180" t="s">
        <v>22</v>
      </c>
      <c r="I57" s="97" t="s">
        <v>374</v>
      </c>
      <c r="J57" s="172">
        <v>1650</v>
      </c>
      <c r="K57" s="95">
        <f t="shared" si="4"/>
        <v>1</v>
      </c>
      <c r="L57" s="173">
        <f t="shared" ref="L57:L69" si="18">1*J57</f>
        <v>1650</v>
      </c>
      <c r="P57" s="95" t="s">
        <v>348</v>
      </c>
      <c r="R57" s="97">
        <v>75</v>
      </c>
      <c r="S57" s="180" t="s">
        <v>340</v>
      </c>
      <c r="T57" s="172">
        <f>3392*1000*3.6</f>
        <v>12211200</v>
      </c>
      <c r="V57" s="174">
        <f t="shared" si="5"/>
        <v>3392000</v>
      </c>
      <c r="X57" s="175">
        <f t="shared" si="0"/>
        <v>7.4007272727272726</v>
      </c>
      <c r="Y57" s="175"/>
      <c r="Z57" s="175">
        <f t="shared" si="6"/>
        <v>2.0557575757575757</v>
      </c>
      <c r="AA57" s="175"/>
      <c r="AK57" s="177">
        <f t="shared" si="17"/>
        <v>0.20959997232599972</v>
      </c>
      <c r="AL57" s="171">
        <f t="shared" si="7"/>
        <v>3029558</v>
      </c>
      <c r="AN57" s="97">
        <v>20</v>
      </c>
      <c r="AO57" s="172">
        <f>3029558*AN57</f>
        <v>60591160</v>
      </c>
      <c r="AP57" s="199">
        <f t="shared" si="8"/>
        <v>36721915.151515156</v>
      </c>
      <c r="AW57" s="102">
        <f t="shared" si="11"/>
        <v>5.5981763676417481E-2</v>
      </c>
      <c r="AY57" s="99">
        <f t="shared" si="12"/>
        <v>1.1196352735283497</v>
      </c>
    </row>
    <row r="58" spans="1:55">
      <c r="A58" s="95" t="str">
        <f t="shared" si="2"/>
        <v>\cite{Martinez2015}</v>
      </c>
      <c r="B58" s="97" t="s">
        <v>121</v>
      </c>
      <c r="C58" s="97">
        <v>2015</v>
      </c>
      <c r="D58" s="97"/>
      <c r="E58" s="11">
        <f t="shared" si="3"/>
        <v>2015</v>
      </c>
      <c r="F58" s="96">
        <f>LOOKUP(E58,Total_wind_installed_capacity!$A$3:$A$28,Total_wind_installed_capacity!$H$3:$H$28)</f>
        <v>427.65899999999999</v>
      </c>
      <c r="G58" s="97" t="s">
        <v>27</v>
      </c>
      <c r="H58" s="180" t="s">
        <v>489</v>
      </c>
      <c r="J58" s="172">
        <v>2000</v>
      </c>
      <c r="K58" s="95">
        <f t="shared" si="4"/>
        <v>1</v>
      </c>
      <c r="L58" s="173">
        <f t="shared" si="18"/>
        <v>2000</v>
      </c>
      <c r="M58" s="95" t="s">
        <v>490</v>
      </c>
      <c r="P58" s="95" t="s">
        <v>348</v>
      </c>
      <c r="Q58" s="95">
        <v>80</v>
      </c>
      <c r="R58" s="97">
        <v>70</v>
      </c>
      <c r="S58" s="180" t="s">
        <v>356</v>
      </c>
      <c r="V58" s="174">
        <f t="shared" si="5"/>
        <v>0</v>
      </c>
      <c r="X58" s="175">
        <f t="shared" si="0"/>
        <v>0</v>
      </c>
      <c r="Y58" s="175"/>
      <c r="Z58" s="175">
        <f t="shared" si="6"/>
        <v>0</v>
      </c>
      <c r="AA58" s="175"/>
      <c r="AK58" s="177">
        <f t="shared" si="17"/>
        <v>0.22831050228310501</v>
      </c>
      <c r="AL58" s="171">
        <f t="shared" si="7"/>
        <v>4000000</v>
      </c>
      <c r="AN58" s="97">
        <v>20</v>
      </c>
      <c r="AO58" s="172">
        <f>4000000*AN58</f>
        <v>80000000</v>
      </c>
      <c r="AP58" s="199">
        <f t="shared" si="8"/>
        <v>40000000</v>
      </c>
      <c r="AW58" s="102">
        <f t="shared" si="11"/>
        <v>0</v>
      </c>
      <c r="AY58" s="99">
        <f t="shared" si="12"/>
        <v>0</v>
      </c>
    </row>
    <row r="59" spans="1:55">
      <c r="A59" s="95" t="str">
        <f t="shared" si="2"/>
        <v>\cite{Matveev2015}</v>
      </c>
      <c r="B59" s="97" t="s">
        <v>491</v>
      </c>
      <c r="C59" s="97">
        <v>2015</v>
      </c>
      <c r="D59" s="97"/>
      <c r="E59" s="11">
        <f t="shared" si="3"/>
        <v>2015</v>
      </c>
      <c r="F59" s="96">
        <f>LOOKUP(E59,Total_wind_installed_capacity!$A$3:$A$28,Total_wind_installed_capacity!$H$3:$H$28)</f>
        <v>427.65899999999999</v>
      </c>
      <c r="G59" s="97" t="s">
        <v>27</v>
      </c>
      <c r="H59" s="180" t="s">
        <v>33</v>
      </c>
      <c r="I59" s="97" t="s">
        <v>492</v>
      </c>
      <c r="J59" s="172">
        <v>4</v>
      </c>
      <c r="K59" s="95">
        <f t="shared" si="4"/>
        <v>1</v>
      </c>
      <c r="L59" s="173">
        <f t="shared" si="18"/>
        <v>4</v>
      </c>
      <c r="M59" s="95" t="s">
        <v>493</v>
      </c>
      <c r="P59" s="95" t="s">
        <v>348</v>
      </c>
      <c r="Q59" s="95">
        <v>5</v>
      </c>
      <c r="R59" s="97">
        <v>8.2200000000000006</v>
      </c>
      <c r="S59" s="180" t="s">
        <v>356</v>
      </c>
      <c r="T59" s="172">
        <v>98653</v>
      </c>
      <c r="V59" s="174">
        <f t="shared" si="5"/>
        <v>27403.611111111109</v>
      </c>
      <c r="X59" s="175">
        <f t="shared" si="0"/>
        <v>24.663250000000001</v>
      </c>
      <c r="Y59" s="175"/>
      <c r="Z59" s="175">
        <f t="shared" si="6"/>
        <v>6.8509027777777778</v>
      </c>
      <c r="AA59" s="175"/>
      <c r="AK59" s="177">
        <f t="shared" si="17"/>
        <v>8.2500000000000004E-2</v>
      </c>
      <c r="AL59" s="171">
        <f t="shared" si="7"/>
        <v>2890.8</v>
      </c>
      <c r="AN59" s="97">
        <v>10</v>
      </c>
      <c r="AO59" s="172">
        <f>0.33*8760*AN59</f>
        <v>28908</v>
      </c>
      <c r="AP59" s="199">
        <f t="shared" si="8"/>
        <v>7227000</v>
      </c>
      <c r="AW59" s="102">
        <f t="shared" si="11"/>
        <v>0.94795942684070533</v>
      </c>
      <c r="AY59" s="99">
        <f t="shared" si="12"/>
        <v>9.4795942684070535</v>
      </c>
    </row>
    <row r="60" spans="1:55">
      <c r="A60" s="95" t="str">
        <f t="shared" si="2"/>
        <v>\cite{Matveev2015}</v>
      </c>
      <c r="B60" s="97" t="s">
        <v>491</v>
      </c>
      <c r="C60" s="97">
        <v>2015</v>
      </c>
      <c r="D60" s="97"/>
      <c r="E60" s="11">
        <f t="shared" si="3"/>
        <v>2015</v>
      </c>
      <c r="F60" s="96">
        <f>LOOKUP(E60,Total_wind_installed_capacity!$A$3:$A$28,Total_wind_installed_capacity!$H$3:$H$28)</f>
        <v>427.65899999999999</v>
      </c>
      <c r="G60" s="97" t="s">
        <v>27</v>
      </c>
      <c r="H60" s="180" t="s">
        <v>33</v>
      </c>
      <c r="I60" s="97" t="s">
        <v>492</v>
      </c>
      <c r="J60" s="172">
        <v>4</v>
      </c>
      <c r="K60" s="95">
        <f t="shared" si="4"/>
        <v>1</v>
      </c>
      <c r="L60" s="173">
        <f t="shared" si="18"/>
        <v>4</v>
      </c>
      <c r="M60" s="95" t="s">
        <v>493</v>
      </c>
      <c r="P60" s="95" t="s">
        <v>348</v>
      </c>
      <c r="Q60" s="95">
        <v>5</v>
      </c>
      <c r="R60" s="97">
        <v>8.2200000000000006</v>
      </c>
      <c r="S60" s="180" t="s">
        <v>356</v>
      </c>
      <c r="T60" s="172">
        <v>98653</v>
      </c>
      <c r="V60" s="174">
        <f t="shared" si="5"/>
        <v>27403.611111111109</v>
      </c>
      <c r="X60" s="175">
        <f t="shared" si="0"/>
        <v>24.663250000000001</v>
      </c>
      <c r="Y60" s="175"/>
      <c r="Z60" s="175">
        <f t="shared" si="6"/>
        <v>6.8509027777777778</v>
      </c>
      <c r="AA60" s="175"/>
      <c r="AK60" s="177">
        <f t="shared" si="17"/>
        <v>0.245</v>
      </c>
      <c r="AL60" s="171">
        <f t="shared" si="7"/>
        <v>8584.7999999999993</v>
      </c>
      <c r="AN60" s="97">
        <v>10</v>
      </c>
      <c r="AO60" s="172">
        <f>0.98*8760*AN60</f>
        <v>85848</v>
      </c>
      <c r="AP60" s="199">
        <f t="shared" si="8"/>
        <v>21462000</v>
      </c>
      <c r="AW60" s="102">
        <f t="shared" si="11"/>
        <v>0.31921082740554363</v>
      </c>
      <c r="AY60" s="99">
        <f t="shared" si="12"/>
        <v>3.1921082740554363</v>
      </c>
    </row>
    <row r="61" spans="1:55">
      <c r="A61" s="95" t="str">
        <f t="shared" si="2"/>
        <v>\cite{Matveev2015}</v>
      </c>
      <c r="B61" s="97" t="s">
        <v>491</v>
      </c>
      <c r="C61" s="97">
        <v>2015</v>
      </c>
      <c r="D61" s="97"/>
      <c r="E61" s="11">
        <f t="shared" si="3"/>
        <v>2015</v>
      </c>
      <c r="F61" s="96">
        <f>LOOKUP(E61,Total_wind_installed_capacity!$A$3:$A$28,Total_wind_installed_capacity!$H$3:$H$28)</f>
        <v>427.65899999999999</v>
      </c>
      <c r="G61" s="97" t="s">
        <v>27</v>
      </c>
      <c r="H61" s="180" t="s">
        <v>33</v>
      </c>
      <c r="I61" s="97" t="s">
        <v>492</v>
      </c>
      <c r="J61" s="172">
        <v>4</v>
      </c>
      <c r="K61" s="95">
        <f t="shared" si="4"/>
        <v>1</v>
      </c>
      <c r="L61" s="173">
        <f t="shared" si="18"/>
        <v>4</v>
      </c>
      <c r="M61" s="95" t="s">
        <v>493</v>
      </c>
      <c r="P61" s="95" t="s">
        <v>348</v>
      </c>
      <c r="Q61" s="95">
        <v>5</v>
      </c>
      <c r="R61" s="97">
        <v>8.2200000000000006</v>
      </c>
      <c r="S61" s="180" t="s">
        <v>356</v>
      </c>
      <c r="T61" s="172">
        <v>98653</v>
      </c>
      <c r="V61" s="174">
        <f t="shared" si="5"/>
        <v>27403.611111111109</v>
      </c>
      <c r="X61" s="175">
        <f t="shared" si="0"/>
        <v>24.663250000000001</v>
      </c>
      <c r="Y61" s="175"/>
      <c r="Z61" s="175">
        <f t="shared" si="6"/>
        <v>6.8509027777777778</v>
      </c>
      <c r="AA61" s="175"/>
      <c r="AK61" s="177">
        <f t="shared" si="17"/>
        <v>0.40250000000000002</v>
      </c>
      <c r="AL61" s="171">
        <f t="shared" si="7"/>
        <v>14103.6</v>
      </c>
      <c r="AN61" s="97">
        <v>10</v>
      </c>
      <c r="AO61" s="172">
        <f>1.61*8760*AN61</f>
        <v>141036</v>
      </c>
      <c r="AP61" s="199">
        <f t="shared" si="8"/>
        <v>35259000</v>
      </c>
      <c r="AW61" s="102">
        <f t="shared" si="11"/>
        <v>0.19430224276859179</v>
      </c>
      <c r="AY61" s="99">
        <f t="shared" si="12"/>
        <v>1.9430224276859178</v>
      </c>
    </row>
    <row r="62" spans="1:55">
      <c r="A62" s="95" t="str">
        <f t="shared" si="2"/>
        <v>\cite{Matveev2015}</v>
      </c>
      <c r="B62" s="97" t="s">
        <v>491</v>
      </c>
      <c r="C62" s="97">
        <v>2015</v>
      </c>
      <c r="D62" s="97"/>
      <c r="E62" s="11">
        <f t="shared" si="3"/>
        <v>2015</v>
      </c>
      <c r="F62" s="96">
        <f>LOOKUP(E62,Total_wind_installed_capacity!$A$3:$A$28,Total_wind_installed_capacity!$H$3:$H$28)</f>
        <v>427.65899999999999</v>
      </c>
      <c r="G62" s="97" t="s">
        <v>27</v>
      </c>
      <c r="H62" s="180" t="s">
        <v>33</v>
      </c>
      <c r="I62" s="97" t="s">
        <v>492</v>
      </c>
      <c r="J62" s="172">
        <v>4</v>
      </c>
      <c r="K62" s="95">
        <f t="shared" si="4"/>
        <v>1</v>
      </c>
      <c r="L62" s="173">
        <f t="shared" si="18"/>
        <v>4</v>
      </c>
      <c r="M62" s="95" t="s">
        <v>493</v>
      </c>
      <c r="P62" s="95" t="s">
        <v>348</v>
      </c>
      <c r="Q62" s="95">
        <v>5</v>
      </c>
      <c r="R62" s="97">
        <v>8.2200000000000006</v>
      </c>
      <c r="S62" s="180" t="s">
        <v>356</v>
      </c>
      <c r="T62" s="172">
        <v>98653</v>
      </c>
      <c r="V62" s="174">
        <f t="shared" si="5"/>
        <v>27403.611111111109</v>
      </c>
      <c r="X62" s="175">
        <f t="shared" si="0"/>
        <v>24.663250000000001</v>
      </c>
      <c r="Y62" s="175"/>
      <c r="Z62" s="175">
        <f t="shared" si="6"/>
        <v>6.8509027777777778</v>
      </c>
      <c r="AA62" s="175"/>
      <c r="AK62" s="177">
        <f t="shared" si="17"/>
        <v>0.49249999999999999</v>
      </c>
      <c r="AL62" s="171">
        <f t="shared" si="7"/>
        <v>17257.2</v>
      </c>
      <c r="AN62" s="97">
        <v>10</v>
      </c>
      <c r="AO62" s="172">
        <f>1.97*8760*AN62</f>
        <v>172572</v>
      </c>
      <c r="AP62" s="199">
        <f t="shared" si="8"/>
        <v>43143000</v>
      </c>
      <c r="AW62" s="102">
        <f t="shared" si="11"/>
        <v>0.15879523393778314</v>
      </c>
      <c r="AY62" s="99">
        <f t="shared" si="12"/>
        <v>1.5879523393778314</v>
      </c>
    </row>
    <row r="63" spans="1:55">
      <c r="A63" s="95" t="str">
        <f t="shared" si="2"/>
        <v>\cite{Matveev2015}</v>
      </c>
      <c r="B63" s="97" t="s">
        <v>491</v>
      </c>
      <c r="C63" s="97">
        <v>2015</v>
      </c>
      <c r="D63" s="97"/>
      <c r="E63" s="11">
        <f t="shared" si="3"/>
        <v>2015</v>
      </c>
      <c r="F63" s="96">
        <f>LOOKUP(E63,Total_wind_installed_capacity!$A$3:$A$28,Total_wind_installed_capacity!$H$3:$H$28)</f>
        <v>427.65899999999999</v>
      </c>
      <c r="G63" s="97" t="s">
        <v>27</v>
      </c>
      <c r="H63" s="180" t="s">
        <v>33</v>
      </c>
      <c r="I63" s="97" t="s">
        <v>492</v>
      </c>
      <c r="J63" s="172">
        <v>4</v>
      </c>
      <c r="K63" s="95">
        <f t="shared" si="4"/>
        <v>1</v>
      </c>
      <c r="L63" s="173">
        <f t="shared" si="18"/>
        <v>4</v>
      </c>
      <c r="M63" s="95" t="s">
        <v>493</v>
      </c>
      <c r="P63" s="95" t="s">
        <v>348</v>
      </c>
      <c r="Q63" s="95">
        <v>5</v>
      </c>
      <c r="R63" s="97">
        <v>8.2200000000000006</v>
      </c>
      <c r="S63" s="180" t="s">
        <v>356</v>
      </c>
      <c r="T63" s="172">
        <v>98653</v>
      </c>
      <c r="V63" s="174">
        <f t="shared" si="5"/>
        <v>27403.611111111109</v>
      </c>
      <c r="X63" s="175">
        <f t="shared" si="0"/>
        <v>24.663250000000001</v>
      </c>
      <c r="Y63" s="175"/>
      <c r="Z63" s="175">
        <f t="shared" si="6"/>
        <v>6.8509027777777778</v>
      </c>
      <c r="AA63" s="175"/>
      <c r="AK63" s="177">
        <f t="shared" si="17"/>
        <v>0.56000000000000005</v>
      </c>
      <c r="AL63" s="171">
        <f t="shared" si="7"/>
        <v>19622.400000000001</v>
      </c>
      <c r="AN63" s="97">
        <v>10</v>
      </c>
      <c r="AO63" s="172">
        <f>2.24*8760*AN63</f>
        <v>196224</v>
      </c>
      <c r="AP63" s="199">
        <f t="shared" si="8"/>
        <v>49056000</v>
      </c>
      <c r="AW63" s="102">
        <f t="shared" si="11"/>
        <v>0.13965473698992534</v>
      </c>
      <c r="AY63" s="99">
        <f t="shared" si="12"/>
        <v>1.3965473698992534</v>
      </c>
    </row>
    <row r="64" spans="1:55">
      <c r="A64" s="95" t="str">
        <f t="shared" si="2"/>
        <v>\cite{Matveev2015}</v>
      </c>
      <c r="B64" s="97" t="s">
        <v>491</v>
      </c>
      <c r="C64" s="97">
        <v>2015</v>
      </c>
      <c r="D64" s="97"/>
      <c r="E64" s="11">
        <f t="shared" si="3"/>
        <v>2015</v>
      </c>
      <c r="F64" s="96">
        <f>LOOKUP(E64,Total_wind_installed_capacity!$A$3:$A$28,Total_wind_installed_capacity!$H$3:$H$28)</f>
        <v>427.65899999999999</v>
      </c>
      <c r="G64" s="97" t="s">
        <v>27</v>
      </c>
      <c r="H64" s="180" t="s">
        <v>33</v>
      </c>
      <c r="I64" s="97" t="s">
        <v>492</v>
      </c>
      <c r="J64" s="172">
        <v>4</v>
      </c>
      <c r="K64" s="95">
        <f t="shared" si="4"/>
        <v>1</v>
      </c>
      <c r="L64" s="173">
        <f t="shared" si="18"/>
        <v>4</v>
      </c>
      <c r="M64" s="95" t="s">
        <v>493</v>
      </c>
      <c r="P64" s="95" t="s">
        <v>348</v>
      </c>
      <c r="Q64" s="95">
        <v>5</v>
      </c>
      <c r="R64" s="97">
        <v>8.2200000000000006</v>
      </c>
      <c r="S64" s="180" t="s">
        <v>356</v>
      </c>
      <c r="T64" s="172">
        <v>98653</v>
      </c>
      <c r="V64" s="174">
        <f t="shared" si="5"/>
        <v>27403.611111111109</v>
      </c>
      <c r="X64" s="175">
        <f t="shared" si="0"/>
        <v>24.663250000000001</v>
      </c>
      <c r="Y64" s="175"/>
      <c r="Z64" s="175">
        <f t="shared" si="6"/>
        <v>6.8509027777777778</v>
      </c>
      <c r="AA64" s="175"/>
      <c r="AK64" s="177">
        <f t="shared" si="17"/>
        <v>0.73750000000000004</v>
      </c>
      <c r="AL64" s="171">
        <f t="shared" si="7"/>
        <v>25842</v>
      </c>
      <c r="AN64" s="97">
        <v>10</v>
      </c>
      <c r="AO64" s="172">
        <f>2.95*8760*AN64</f>
        <v>258420</v>
      </c>
      <c r="AP64" s="199">
        <f t="shared" si="8"/>
        <v>64605000</v>
      </c>
      <c r="AW64" s="102">
        <f t="shared" si="11"/>
        <v>0.10604291893472297</v>
      </c>
      <c r="AY64" s="99">
        <f t="shared" si="12"/>
        <v>1.0604291893472297</v>
      </c>
    </row>
    <row r="65" spans="1:55">
      <c r="A65" s="95" t="str">
        <f t="shared" si="2"/>
        <v>\cite{Nagashima2015}</v>
      </c>
      <c r="B65" s="97" t="s">
        <v>159</v>
      </c>
      <c r="C65" s="97">
        <v>2015</v>
      </c>
      <c r="D65" s="97"/>
      <c r="E65" s="11">
        <f t="shared" si="3"/>
        <v>2015</v>
      </c>
      <c r="F65" s="96">
        <f>LOOKUP(E65,Total_wind_installed_capacity!$A$3:$A$28,Total_wind_installed_capacity!$H$3:$H$28)</f>
        <v>427.65899999999999</v>
      </c>
      <c r="G65" s="95" t="s">
        <v>404</v>
      </c>
      <c r="H65" s="180" t="s">
        <v>494</v>
      </c>
      <c r="I65" s="97" t="s">
        <v>160</v>
      </c>
      <c r="J65" s="172">
        <v>1650</v>
      </c>
      <c r="K65" s="95">
        <f t="shared" si="4"/>
        <v>1</v>
      </c>
      <c r="L65" s="173">
        <f t="shared" si="18"/>
        <v>1650</v>
      </c>
      <c r="M65" s="95" t="s">
        <v>495</v>
      </c>
      <c r="P65" s="95" t="s">
        <v>348</v>
      </c>
      <c r="R65" s="97"/>
      <c r="S65" s="180" t="s">
        <v>356</v>
      </c>
      <c r="T65" s="172">
        <f>16.46*1000000</f>
        <v>16460000</v>
      </c>
      <c r="V65" s="174">
        <f t="shared" si="5"/>
        <v>4572222.222222222</v>
      </c>
      <c r="X65" s="175">
        <f t="shared" si="0"/>
        <v>9.9757575757575765</v>
      </c>
      <c r="Y65" s="175"/>
      <c r="Z65" s="175">
        <f t="shared" si="6"/>
        <v>2.7710437710437712</v>
      </c>
      <c r="AA65" s="175"/>
      <c r="AK65" s="177">
        <f t="shared" si="17"/>
        <v>0.19994465199944653</v>
      </c>
      <c r="AL65" s="171">
        <f t="shared" si="7"/>
        <v>2890000</v>
      </c>
      <c r="AN65" s="97">
        <v>20</v>
      </c>
      <c r="AO65" s="172">
        <f>2.89*1000000*AN65</f>
        <v>57800000</v>
      </c>
      <c r="AP65" s="199">
        <f t="shared" si="8"/>
        <v>35030303.030303031</v>
      </c>
      <c r="AW65" s="102">
        <f t="shared" si="11"/>
        <v>7.9104190695886201E-2</v>
      </c>
      <c r="AY65" s="99">
        <f t="shared" si="12"/>
        <v>1.582083813917724</v>
      </c>
    </row>
    <row r="66" spans="1:55">
      <c r="A66" s="95" t="str">
        <f t="shared" si="2"/>
        <v>\cite{Noori2015}</v>
      </c>
      <c r="B66" s="97" t="s">
        <v>496</v>
      </c>
      <c r="C66" s="97">
        <v>2015</v>
      </c>
      <c r="D66" s="97"/>
      <c r="E66" s="11">
        <f t="shared" si="3"/>
        <v>2015</v>
      </c>
      <c r="F66" s="96">
        <f>LOOKUP(E66,Total_wind_installed_capacity!$A$3:$A$28,Total_wind_installed_capacity!$H$3:$H$28)</f>
        <v>427.65899999999999</v>
      </c>
      <c r="G66" s="97" t="s">
        <v>404</v>
      </c>
      <c r="H66" s="180" t="s">
        <v>267</v>
      </c>
      <c r="I66" s="97" t="s">
        <v>287</v>
      </c>
      <c r="J66" s="172">
        <v>2000</v>
      </c>
      <c r="K66" s="95">
        <f t="shared" si="4"/>
        <v>1</v>
      </c>
      <c r="L66" s="173">
        <f t="shared" si="18"/>
        <v>2000</v>
      </c>
      <c r="M66" s="95" t="s">
        <v>497</v>
      </c>
      <c r="P66" s="95" t="s">
        <v>348</v>
      </c>
      <c r="R66" s="97">
        <v>78</v>
      </c>
      <c r="S66" s="180" t="s">
        <v>356</v>
      </c>
      <c r="T66" s="172">
        <f>2.5*0.1*AO66</f>
        <v>28250000</v>
      </c>
      <c r="V66" s="174">
        <f t="shared" si="5"/>
        <v>7847222.222222222</v>
      </c>
      <c r="X66" s="175">
        <f t="shared" ref="X66:X105" si="19">T66/L66/1000</f>
        <v>14.125</v>
      </c>
      <c r="Y66" s="175"/>
      <c r="Z66" s="175">
        <f t="shared" si="6"/>
        <v>3.9236111111111112</v>
      </c>
      <c r="AA66" s="175"/>
      <c r="AK66" s="177">
        <f t="shared" si="17"/>
        <v>0.32248858447488582</v>
      </c>
      <c r="AL66" s="171">
        <f t="shared" si="7"/>
        <v>5650000</v>
      </c>
      <c r="AN66" s="97">
        <v>20</v>
      </c>
      <c r="AO66" s="172">
        <f>113000*1000</f>
        <v>113000000</v>
      </c>
      <c r="AP66" s="199">
        <f t="shared" si="8"/>
        <v>56500000</v>
      </c>
      <c r="AW66" s="102">
        <f t="shared" si="11"/>
        <v>6.9444444444444448E-2</v>
      </c>
      <c r="AY66" s="99">
        <f t="shared" si="12"/>
        <v>1.3888888888888888</v>
      </c>
    </row>
    <row r="67" spans="1:55">
      <c r="A67" s="95" t="str">
        <f t="shared" si="2"/>
        <v>\cite{Noori2015}</v>
      </c>
      <c r="B67" s="97" t="s">
        <v>496</v>
      </c>
      <c r="C67" s="97">
        <v>2015</v>
      </c>
      <c r="D67" s="97"/>
      <c r="E67" s="11">
        <f t="shared" ref="E67:E105" si="20">IF(D67&gt;0,D67,C67)</f>
        <v>2015</v>
      </c>
      <c r="F67" s="96">
        <f>LOOKUP(E67,Total_wind_installed_capacity!$A$3:$A$28,Total_wind_installed_capacity!$H$3:$H$28)</f>
        <v>427.65899999999999</v>
      </c>
      <c r="G67" s="97" t="s">
        <v>404</v>
      </c>
      <c r="H67" s="180" t="s">
        <v>267</v>
      </c>
      <c r="I67" s="97" t="s">
        <v>287</v>
      </c>
      <c r="J67" s="172">
        <v>2000</v>
      </c>
      <c r="K67" s="95">
        <f t="shared" ref="K67:K105" si="21">L67/J67</f>
        <v>1</v>
      </c>
      <c r="L67" s="173">
        <f t="shared" si="18"/>
        <v>2000</v>
      </c>
      <c r="M67" s="95" t="s">
        <v>497</v>
      </c>
      <c r="P67" s="95" t="s">
        <v>359</v>
      </c>
      <c r="R67" s="97">
        <v>60</v>
      </c>
      <c r="S67" s="180" t="s">
        <v>356</v>
      </c>
      <c r="T67" s="172">
        <f>1.3*0.1*AO67</f>
        <v>21060000</v>
      </c>
      <c r="V67" s="174">
        <f t="shared" ref="V67:V105" si="22">T67/3.6</f>
        <v>5850000</v>
      </c>
      <c r="X67" s="175">
        <f t="shared" si="19"/>
        <v>10.53</v>
      </c>
      <c r="Y67" s="175"/>
      <c r="Z67" s="175">
        <f t="shared" ref="Z67:Z105" si="23">X67/3.6</f>
        <v>2.9249999999999998</v>
      </c>
      <c r="AA67" s="175"/>
      <c r="AK67" s="177">
        <f t="shared" si="17"/>
        <v>0.46232876712328769</v>
      </c>
      <c r="AL67" s="171">
        <f t="shared" ref="AL67:AL105" si="24">L67*AK67*8760</f>
        <v>8100000</v>
      </c>
      <c r="AN67" s="97">
        <v>20</v>
      </c>
      <c r="AO67" s="172">
        <f>162000*1000</f>
        <v>162000000</v>
      </c>
      <c r="AP67" s="199">
        <f t="shared" ref="AP67:AP105" si="25">AO67/L67*1000</f>
        <v>81000000</v>
      </c>
      <c r="AW67" s="102">
        <f t="shared" si="11"/>
        <v>3.6111111111111108E-2</v>
      </c>
      <c r="AY67" s="99">
        <f t="shared" si="12"/>
        <v>0.7222222222222221</v>
      </c>
    </row>
    <row r="68" spans="1:55">
      <c r="A68" s="95" t="str">
        <f t="shared" si="2"/>
        <v>\cite{Noori2015}</v>
      </c>
      <c r="B68" s="97" t="s">
        <v>496</v>
      </c>
      <c r="C68" s="97">
        <v>2015</v>
      </c>
      <c r="D68" s="97"/>
      <c r="E68" s="11">
        <f t="shared" si="20"/>
        <v>2015</v>
      </c>
      <c r="F68" s="96">
        <f>LOOKUP(E68,Total_wind_installed_capacity!$A$3:$A$28,Total_wind_installed_capacity!$H$3:$H$28)</f>
        <v>427.65899999999999</v>
      </c>
      <c r="G68" s="97" t="s">
        <v>404</v>
      </c>
      <c r="H68" s="180" t="s">
        <v>267</v>
      </c>
      <c r="I68" s="97" t="s">
        <v>287</v>
      </c>
      <c r="J68" s="172">
        <v>3000</v>
      </c>
      <c r="K68" s="95">
        <f t="shared" si="21"/>
        <v>1</v>
      </c>
      <c r="L68" s="173">
        <f t="shared" si="18"/>
        <v>3000</v>
      </c>
      <c r="M68" s="95" t="s">
        <v>498</v>
      </c>
      <c r="P68" s="95" t="s">
        <v>348</v>
      </c>
      <c r="R68" s="97">
        <v>105</v>
      </c>
      <c r="S68" s="180" t="s">
        <v>356</v>
      </c>
      <c r="T68" s="172">
        <f>2.3*0.1*AO68</f>
        <v>36340000</v>
      </c>
      <c r="V68" s="174">
        <f t="shared" si="22"/>
        <v>10094444.444444444</v>
      </c>
      <c r="X68" s="175">
        <f t="shared" si="19"/>
        <v>12.113333333333333</v>
      </c>
      <c r="Y68" s="175"/>
      <c r="Z68" s="175">
        <f t="shared" si="23"/>
        <v>3.3648148148148147</v>
      </c>
      <c r="AA68" s="175"/>
      <c r="AK68" s="177">
        <f t="shared" si="17"/>
        <v>0.30060882800608829</v>
      </c>
      <c r="AL68" s="171">
        <f t="shared" si="24"/>
        <v>7900000</v>
      </c>
      <c r="AN68" s="97">
        <v>20</v>
      </c>
      <c r="AO68" s="172">
        <f>158000*1000</f>
        <v>158000000</v>
      </c>
      <c r="AP68" s="199">
        <f t="shared" si="25"/>
        <v>52666666.666666664</v>
      </c>
      <c r="AW68" s="102">
        <f t="shared" si="11"/>
        <v>6.3888888888888884E-2</v>
      </c>
      <c r="AY68" s="99">
        <f t="shared" si="12"/>
        <v>1.2777777777777777</v>
      </c>
    </row>
    <row r="69" spans="1:55">
      <c r="A69" s="95" t="str">
        <f t="shared" si="2"/>
        <v>\cite{Noori2015}</v>
      </c>
      <c r="B69" s="97" t="s">
        <v>496</v>
      </c>
      <c r="C69" s="97">
        <v>2015</v>
      </c>
      <c r="D69" s="97"/>
      <c r="E69" s="11">
        <f t="shared" si="20"/>
        <v>2015</v>
      </c>
      <c r="F69" s="96">
        <f>LOOKUP(E69,Total_wind_installed_capacity!$A$3:$A$28,Total_wind_installed_capacity!$H$3:$H$28)</f>
        <v>427.65899999999999</v>
      </c>
      <c r="G69" s="97" t="s">
        <v>404</v>
      </c>
      <c r="H69" s="180" t="s">
        <v>267</v>
      </c>
      <c r="I69" s="97" t="s">
        <v>287</v>
      </c>
      <c r="J69" s="172">
        <v>3000</v>
      </c>
      <c r="K69" s="95">
        <f t="shared" si="21"/>
        <v>1</v>
      </c>
      <c r="L69" s="173">
        <f t="shared" si="18"/>
        <v>3000</v>
      </c>
      <c r="M69" s="95" t="s">
        <v>498</v>
      </c>
      <c r="P69" s="95" t="s">
        <v>359</v>
      </c>
      <c r="R69" s="97">
        <v>80</v>
      </c>
      <c r="S69" s="180" t="s">
        <v>356</v>
      </c>
      <c r="T69" s="172">
        <f>9.8*0.01*AO69</f>
        <v>27440000</v>
      </c>
      <c r="V69" s="174">
        <f t="shared" si="22"/>
        <v>7622222.222222222</v>
      </c>
      <c r="X69" s="175">
        <f t="shared" si="19"/>
        <v>9.1466666666666665</v>
      </c>
      <c r="Y69" s="175"/>
      <c r="Z69" s="175">
        <f t="shared" si="23"/>
        <v>2.5407407407407407</v>
      </c>
      <c r="AA69" s="175"/>
      <c r="AK69" s="177">
        <f t="shared" si="17"/>
        <v>0.53272450532724502</v>
      </c>
      <c r="AL69" s="171">
        <f t="shared" si="24"/>
        <v>14000000</v>
      </c>
      <c r="AN69" s="97">
        <v>20</v>
      </c>
      <c r="AO69" s="172">
        <f>280000*1000</f>
        <v>280000000</v>
      </c>
      <c r="AP69" s="199">
        <f t="shared" si="25"/>
        <v>93333333.333333328</v>
      </c>
      <c r="AW69" s="102">
        <f t="shared" si="11"/>
        <v>2.7222222222222221E-2</v>
      </c>
      <c r="AY69" s="99">
        <f t="shared" si="12"/>
        <v>0.5444444444444444</v>
      </c>
    </row>
    <row r="70" spans="1:55">
      <c r="A70" s="95" t="str">
        <f t="shared" si="2"/>
        <v>\cite{Radaal2012}</v>
      </c>
      <c r="B70" s="97" t="s">
        <v>499</v>
      </c>
      <c r="C70" s="97">
        <v>2012</v>
      </c>
      <c r="D70" s="97"/>
      <c r="E70" s="11">
        <f t="shared" si="20"/>
        <v>2012</v>
      </c>
      <c r="F70" s="96">
        <f>LOOKUP(E70,Total_wind_installed_capacity!$A$3:$A$28,Total_wind_installed_capacity!$H$3:$H$28)</f>
        <v>270.84683750000005</v>
      </c>
      <c r="G70" s="97" t="s">
        <v>27</v>
      </c>
      <c r="H70" s="180" t="s">
        <v>22</v>
      </c>
      <c r="I70" s="97" t="s">
        <v>30</v>
      </c>
      <c r="J70" s="172">
        <v>5000</v>
      </c>
      <c r="K70" s="95">
        <f t="shared" si="21"/>
        <v>100</v>
      </c>
      <c r="L70" s="173">
        <f t="shared" ref="L70:L75" si="26">100*J70</f>
        <v>500000</v>
      </c>
      <c r="M70" s="95" t="s">
        <v>500</v>
      </c>
      <c r="N70" s="95" t="s">
        <v>501</v>
      </c>
      <c r="P70" s="95" t="s">
        <v>359</v>
      </c>
      <c r="Q70" s="95">
        <v>126</v>
      </c>
      <c r="R70" s="97">
        <v>90</v>
      </c>
      <c r="S70" s="180" t="s">
        <v>356</v>
      </c>
      <c r="V70" s="174">
        <f t="shared" si="22"/>
        <v>0</v>
      </c>
      <c r="X70" s="175">
        <f t="shared" si="19"/>
        <v>0</v>
      </c>
      <c r="Y70" s="175"/>
      <c r="Z70" s="175">
        <f t="shared" si="23"/>
        <v>0</v>
      </c>
      <c r="AA70" s="175"/>
      <c r="AK70" s="177">
        <v>0.46</v>
      </c>
      <c r="AL70" s="171">
        <f t="shared" si="24"/>
        <v>2014800000</v>
      </c>
      <c r="AN70" s="97">
        <v>20</v>
      </c>
      <c r="AO70" s="172">
        <f t="shared" ref="AO70:AO75" si="27">L70*8760*AK70*AN70</f>
        <v>40296000000</v>
      </c>
      <c r="AP70" s="199">
        <f t="shared" si="25"/>
        <v>80592000</v>
      </c>
      <c r="AQ70" s="95">
        <v>12.4</v>
      </c>
      <c r="AR70" s="95">
        <v>0.1</v>
      </c>
      <c r="AW70" s="102"/>
      <c r="AY70" s="101">
        <v>1.6</v>
      </c>
      <c r="BB70" s="95">
        <v>0.1</v>
      </c>
    </row>
    <row r="71" spans="1:55">
      <c r="A71" s="95" t="str">
        <f t="shared" si="2"/>
        <v>\cite{Radaal2012}</v>
      </c>
      <c r="B71" s="97" t="s">
        <v>499</v>
      </c>
      <c r="C71" s="97">
        <v>2012</v>
      </c>
      <c r="D71" s="97"/>
      <c r="E71" s="11">
        <f t="shared" si="20"/>
        <v>2012</v>
      </c>
      <c r="F71" s="96">
        <f>LOOKUP(E71,Total_wind_installed_capacity!$A$3:$A$28,Total_wind_installed_capacity!$H$3:$H$28)</f>
        <v>270.84683750000005</v>
      </c>
      <c r="G71" s="97" t="s">
        <v>27</v>
      </c>
      <c r="H71" s="180" t="s">
        <v>22</v>
      </c>
      <c r="I71" s="97" t="s">
        <v>30</v>
      </c>
      <c r="J71" s="172">
        <v>5000</v>
      </c>
      <c r="K71" s="95">
        <f t="shared" si="21"/>
        <v>100</v>
      </c>
      <c r="L71" s="173">
        <f t="shared" si="26"/>
        <v>500000</v>
      </c>
      <c r="M71" s="95" t="s">
        <v>500</v>
      </c>
      <c r="N71" s="95" t="s">
        <v>502</v>
      </c>
      <c r="P71" s="95" t="s">
        <v>359</v>
      </c>
      <c r="Q71" s="95">
        <v>126</v>
      </c>
      <c r="R71" s="97">
        <v>90</v>
      </c>
      <c r="S71" s="180" t="s">
        <v>356</v>
      </c>
      <c r="V71" s="174">
        <f t="shared" si="22"/>
        <v>0</v>
      </c>
      <c r="X71" s="175">
        <f t="shared" si="19"/>
        <v>0</v>
      </c>
      <c r="Y71" s="175"/>
      <c r="Z71" s="175">
        <f t="shared" si="23"/>
        <v>0</v>
      </c>
      <c r="AA71" s="175"/>
      <c r="AK71" s="177">
        <v>0.46</v>
      </c>
      <c r="AL71" s="171">
        <f t="shared" si="24"/>
        <v>2014800000</v>
      </c>
      <c r="AN71" s="97">
        <v>20</v>
      </c>
      <c r="AO71" s="172">
        <f t="shared" si="27"/>
        <v>40296000000</v>
      </c>
      <c r="AP71" s="199">
        <f t="shared" si="25"/>
        <v>80592000</v>
      </c>
      <c r="AQ71" s="95">
        <v>11.2</v>
      </c>
      <c r="AR71" s="95">
        <v>0.1</v>
      </c>
      <c r="AW71" s="102"/>
      <c r="AY71" s="101">
        <v>1.8</v>
      </c>
      <c r="BB71" s="95">
        <v>0.1</v>
      </c>
    </row>
    <row r="72" spans="1:55">
      <c r="A72" s="95" t="str">
        <f t="shared" si="2"/>
        <v>\cite{Radaal2012}</v>
      </c>
      <c r="B72" s="97" t="s">
        <v>499</v>
      </c>
      <c r="C72" s="97">
        <v>2012</v>
      </c>
      <c r="D72" s="97"/>
      <c r="E72" s="11">
        <f t="shared" si="20"/>
        <v>2012</v>
      </c>
      <c r="F72" s="96">
        <f>LOOKUP(E72,Total_wind_installed_capacity!$A$3:$A$28,Total_wind_installed_capacity!$H$3:$H$28)</f>
        <v>270.84683750000005</v>
      </c>
      <c r="G72" s="97" t="s">
        <v>27</v>
      </c>
      <c r="H72" s="180" t="s">
        <v>22</v>
      </c>
      <c r="I72" s="97" t="s">
        <v>30</v>
      </c>
      <c r="J72" s="172">
        <v>5000</v>
      </c>
      <c r="K72" s="95">
        <f t="shared" si="21"/>
        <v>100</v>
      </c>
      <c r="L72" s="173">
        <f t="shared" si="26"/>
        <v>500000</v>
      </c>
      <c r="M72" s="95" t="s">
        <v>500</v>
      </c>
      <c r="N72" s="95" t="s">
        <v>503</v>
      </c>
      <c r="P72" s="95" t="s">
        <v>359</v>
      </c>
      <c r="Q72" s="95">
        <v>126</v>
      </c>
      <c r="R72" s="97">
        <v>90</v>
      </c>
      <c r="S72" s="180" t="s">
        <v>356</v>
      </c>
      <c r="V72" s="174">
        <f t="shared" si="22"/>
        <v>0</v>
      </c>
      <c r="X72" s="175">
        <f t="shared" si="19"/>
        <v>0</v>
      </c>
      <c r="Y72" s="175"/>
      <c r="Z72" s="175">
        <f t="shared" si="23"/>
        <v>0</v>
      </c>
      <c r="AA72" s="175"/>
      <c r="AK72" s="177">
        <v>0.46</v>
      </c>
      <c r="AL72" s="171">
        <f t="shared" si="24"/>
        <v>2014800000</v>
      </c>
      <c r="AN72" s="97">
        <v>20</v>
      </c>
      <c r="AO72" s="172">
        <f t="shared" si="27"/>
        <v>40296000000</v>
      </c>
      <c r="AP72" s="199">
        <f t="shared" si="25"/>
        <v>80592000</v>
      </c>
      <c r="AQ72" s="95">
        <v>7.5</v>
      </c>
      <c r="AR72" s="95">
        <v>0.1</v>
      </c>
      <c r="AW72" s="102"/>
      <c r="AY72" s="101">
        <v>2.7</v>
      </c>
      <c r="BB72" s="95">
        <v>0.1</v>
      </c>
    </row>
    <row r="73" spans="1:55">
      <c r="A73" s="95" t="str">
        <f t="shared" si="2"/>
        <v>\cite{Radaal2012}</v>
      </c>
      <c r="B73" s="97" t="s">
        <v>499</v>
      </c>
      <c r="C73" s="97">
        <v>2012</v>
      </c>
      <c r="D73" s="97"/>
      <c r="E73" s="11">
        <f t="shared" si="20"/>
        <v>2012</v>
      </c>
      <c r="F73" s="96">
        <f>LOOKUP(E73,Total_wind_installed_capacity!$A$3:$A$28,Total_wind_installed_capacity!$H$3:$H$28)</f>
        <v>270.84683750000005</v>
      </c>
      <c r="G73" s="97" t="s">
        <v>27</v>
      </c>
      <c r="H73" s="180" t="s">
        <v>22</v>
      </c>
      <c r="I73" s="97" t="s">
        <v>30</v>
      </c>
      <c r="J73" s="172">
        <v>5000</v>
      </c>
      <c r="K73" s="95">
        <f t="shared" si="21"/>
        <v>100</v>
      </c>
      <c r="L73" s="173">
        <f t="shared" si="26"/>
        <v>500000</v>
      </c>
      <c r="M73" s="95" t="s">
        <v>500</v>
      </c>
      <c r="N73" s="95" t="s">
        <v>504</v>
      </c>
      <c r="P73" s="95" t="s">
        <v>359</v>
      </c>
      <c r="Q73" s="95">
        <v>126</v>
      </c>
      <c r="R73" s="97">
        <v>90</v>
      </c>
      <c r="S73" s="180" t="s">
        <v>356</v>
      </c>
      <c r="V73" s="174">
        <f t="shared" si="22"/>
        <v>0</v>
      </c>
      <c r="X73" s="175">
        <f t="shared" si="19"/>
        <v>0</v>
      </c>
      <c r="Y73" s="175"/>
      <c r="Z73" s="175">
        <f t="shared" si="23"/>
        <v>0</v>
      </c>
      <c r="AA73" s="175"/>
      <c r="AK73" s="177">
        <v>0.46</v>
      </c>
      <c r="AL73" s="171">
        <f t="shared" si="24"/>
        <v>2014800000</v>
      </c>
      <c r="AN73" s="97">
        <v>20</v>
      </c>
      <c r="AO73" s="172">
        <f t="shared" si="27"/>
        <v>40296000000</v>
      </c>
      <c r="AP73" s="199">
        <f t="shared" si="25"/>
        <v>80592000</v>
      </c>
      <c r="AQ73" s="95">
        <v>9.1999999999999993</v>
      </c>
      <c r="AR73" s="95">
        <v>0.1</v>
      </c>
      <c r="AW73" s="102"/>
      <c r="AY73" s="101">
        <v>2.2000000000000002</v>
      </c>
      <c r="BB73" s="95">
        <v>0.1</v>
      </c>
    </row>
    <row r="74" spans="1:55">
      <c r="A74" s="95" t="str">
        <f t="shared" ref="A74:A105" si="28">CONCATENATE("\cite{",B74,C74,"}")</f>
        <v>\cite{Radaal2012}</v>
      </c>
      <c r="B74" s="97" t="s">
        <v>499</v>
      </c>
      <c r="C74" s="97">
        <v>2012</v>
      </c>
      <c r="D74" s="97"/>
      <c r="E74" s="11">
        <f t="shared" si="20"/>
        <v>2012</v>
      </c>
      <c r="F74" s="96">
        <f>LOOKUP(E74,Total_wind_installed_capacity!$A$3:$A$28,Total_wind_installed_capacity!$H$3:$H$28)</f>
        <v>270.84683750000005</v>
      </c>
      <c r="G74" s="97" t="s">
        <v>27</v>
      </c>
      <c r="H74" s="180" t="s">
        <v>22</v>
      </c>
      <c r="I74" s="97" t="s">
        <v>30</v>
      </c>
      <c r="J74" s="172">
        <v>5000</v>
      </c>
      <c r="K74" s="95">
        <f t="shared" si="21"/>
        <v>100</v>
      </c>
      <c r="L74" s="173">
        <f t="shared" si="26"/>
        <v>500000</v>
      </c>
      <c r="M74" s="95" t="s">
        <v>500</v>
      </c>
      <c r="N74" s="95" t="s">
        <v>505</v>
      </c>
      <c r="P74" s="95" t="s">
        <v>359</v>
      </c>
      <c r="Q74" s="95">
        <v>126</v>
      </c>
      <c r="R74" s="97">
        <v>90</v>
      </c>
      <c r="S74" s="180" t="s">
        <v>356</v>
      </c>
      <c r="V74" s="174">
        <f t="shared" si="22"/>
        <v>0</v>
      </c>
      <c r="X74" s="175">
        <f t="shared" si="19"/>
        <v>0</v>
      </c>
      <c r="Y74" s="175"/>
      <c r="Z74" s="175">
        <f t="shared" si="23"/>
        <v>0</v>
      </c>
      <c r="AA74" s="175"/>
      <c r="AK74" s="177">
        <v>0.46</v>
      </c>
      <c r="AL74" s="171">
        <f t="shared" si="24"/>
        <v>2014800000</v>
      </c>
      <c r="AN74" s="97">
        <v>20</v>
      </c>
      <c r="AO74" s="172">
        <f t="shared" si="27"/>
        <v>40296000000</v>
      </c>
      <c r="AP74" s="199">
        <f t="shared" si="25"/>
        <v>80592000</v>
      </c>
      <c r="AQ74" s="95">
        <v>12</v>
      </c>
      <c r="AR74" s="95">
        <v>0.1</v>
      </c>
      <c r="AW74" s="102"/>
      <c r="AY74" s="101">
        <v>1.7</v>
      </c>
      <c r="BB74" s="95">
        <v>0.1</v>
      </c>
    </row>
    <row r="75" spans="1:55">
      <c r="A75" s="95" t="str">
        <f t="shared" si="28"/>
        <v>\cite{Radaal2012}</v>
      </c>
      <c r="B75" s="97" t="s">
        <v>499</v>
      </c>
      <c r="C75" s="97">
        <v>2012</v>
      </c>
      <c r="D75" s="97"/>
      <c r="E75" s="11">
        <f t="shared" si="20"/>
        <v>2012</v>
      </c>
      <c r="F75" s="96">
        <f>LOOKUP(E75,Total_wind_installed_capacity!$A$3:$A$28,Total_wind_installed_capacity!$H$3:$H$28)</f>
        <v>270.84683750000005</v>
      </c>
      <c r="G75" s="97" t="s">
        <v>27</v>
      </c>
      <c r="H75" s="180" t="s">
        <v>22</v>
      </c>
      <c r="I75" s="97" t="s">
        <v>30</v>
      </c>
      <c r="J75" s="172">
        <v>5000</v>
      </c>
      <c r="K75" s="95">
        <f t="shared" si="21"/>
        <v>100</v>
      </c>
      <c r="L75" s="173">
        <f t="shared" si="26"/>
        <v>500000</v>
      </c>
      <c r="M75" s="95" t="s">
        <v>500</v>
      </c>
      <c r="N75" s="95" t="s">
        <v>506</v>
      </c>
      <c r="P75" s="95" t="s">
        <v>359</v>
      </c>
      <c r="Q75" s="95">
        <v>126</v>
      </c>
      <c r="R75" s="97">
        <v>90</v>
      </c>
      <c r="S75" s="180" t="s">
        <v>356</v>
      </c>
      <c r="V75" s="174">
        <f t="shared" si="22"/>
        <v>0</v>
      </c>
      <c r="X75" s="175">
        <f t="shared" si="19"/>
        <v>0</v>
      </c>
      <c r="Y75" s="175"/>
      <c r="Z75" s="175">
        <f t="shared" si="23"/>
        <v>0</v>
      </c>
      <c r="AA75" s="175"/>
      <c r="AK75" s="177">
        <v>0.46</v>
      </c>
      <c r="AL75" s="171">
        <f t="shared" si="24"/>
        <v>2014800000</v>
      </c>
      <c r="AN75" s="97">
        <v>20</v>
      </c>
      <c r="AO75" s="172">
        <f t="shared" si="27"/>
        <v>40296000000</v>
      </c>
      <c r="AP75" s="199">
        <f t="shared" si="25"/>
        <v>80592000</v>
      </c>
      <c r="AQ75" s="95">
        <v>12.9</v>
      </c>
      <c r="AR75" s="95">
        <v>0.1</v>
      </c>
      <c r="AW75" s="102"/>
      <c r="AY75" s="101">
        <v>1.5</v>
      </c>
      <c r="BB75" s="95">
        <v>0.1</v>
      </c>
    </row>
    <row r="76" spans="1:55">
      <c r="A76" s="95" t="str">
        <f t="shared" si="28"/>
        <v>\cite{Radaal2012}</v>
      </c>
      <c r="B76" s="97" t="s">
        <v>499</v>
      </c>
      <c r="C76" s="97">
        <v>2012</v>
      </c>
      <c r="D76" s="97"/>
      <c r="E76" s="11">
        <f t="shared" si="20"/>
        <v>2012</v>
      </c>
      <c r="F76" s="96">
        <f>LOOKUP(E76,Total_wind_installed_capacity!$A$3:$A$28,Total_wind_installed_capacity!$H$3:$H$28)</f>
        <v>270.84683750000005</v>
      </c>
      <c r="G76" s="97" t="s">
        <v>27</v>
      </c>
      <c r="H76" s="180" t="s">
        <v>22</v>
      </c>
      <c r="I76" s="97" t="s">
        <v>507</v>
      </c>
      <c r="J76" s="172">
        <v>2300</v>
      </c>
      <c r="K76" s="95">
        <f t="shared" si="21"/>
        <v>17</v>
      </c>
      <c r="L76" s="173">
        <f>17*J76</f>
        <v>39100</v>
      </c>
      <c r="P76" s="95" t="s">
        <v>348</v>
      </c>
      <c r="R76" s="97"/>
      <c r="S76" s="180" t="s">
        <v>340</v>
      </c>
      <c r="V76" s="174">
        <f t="shared" si="22"/>
        <v>0</v>
      </c>
      <c r="X76" s="175">
        <f t="shared" si="19"/>
        <v>0</v>
      </c>
      <c r="Y76" s="175"/>
      <c r="Z76" s="175">
        <f t="shared" si="23"/>
        <v>0</v>
      </c>
      <c r="AA76" s="175"/>
      <c r="AK76" s="177">
        <f t="shared" ref="AK76:AK105" si="29">AO76/(8760*L76*AN76)</f>
        <v>0.33867031029207395</v>
      </c>
      <c r="AL76" s="171">
        <f t="shared" si="24"/>
        <v>116000000</v>
      </c>
      <c r="AN76" s="97">
        <v>20</v>
      </c>
      <c r="AO76" s="172">
        <f>116*1000000*AN76</f>
        <v>2320000000</v>
      </c>
      <c r="AP76" s="199">
        <f t="shared" si="25"/>
        <v>59335038.363171354</v>
      </c>
      <c r="AQ76" s="95">
        <v>21</v>
      </c>
      <c r="AR76" s="95">
        <v>0.2</v>
      </c>
      <c r="AW76" s="102"/>
      <c r="AY76" s="101">
        <v>0.95</v>
      </c>
      <c r="BB76" s="95">
        <v>0.01</v>
      </c>
      <c r="BC76" s="95" t="s">
        <v>508</v>
      </c>
    </row>
    <row r="77" spans="1:55">
      <c r="A77" s="95" t="str">
        <f t="shared" si="28"/>
        <v>\cite{Radaal2012}</v>
      </c>
      <c r="B77" s="97" t="s">
        <v>499</v>
      </c>
      <c r="C77" s="97">
        <v>2012</v>
      </c>
      <c r="D77" s="97"/>
      <c r="E77" s="11">
        <f t="shared" si="20"/>
        <v>2012</v>
      </c>
      <c r="F77" s="96">
        <f>LOOKUP(E77,Total_wind_installed_capacity!$A$3:$A$28,Total_wind_installed_capacity!$H$3:$H$28)</f>
        <v>270.84683750000005</v>
      </c>
      <c r="G77" s="97" t="s">
        <v>27</v>
      </c>
      <c r="H77" s="180" t="s">
        <v>22</v>
      </c>
      <c r="I77" s="97" t="s">
        <v>507</v>
      </c>
      <c r="J77" s="172">
        <v>2300</v>
      </c>
      <c r="K77" s="95">
        <f t="shared" si="21"/>
        <v>17</v>
      </c>
      <c r="L77" s="173">
        <f>17*J77</f>
        <v>39100</v>
      </c>
      <c r="P77" s="95" t="s">
        <v>348</v>
      </c>
      <c r="R77" s="97"/>
      <c r="S77" s="180" t="s">
        <v>340</v>
      </c>
      <c r="V77" s="174">
        <f t="shared" si="22"/>
        <v>0</v>
      </c>
      <c r="X77" s="175">
        <f t="shared" si="19"/>
        <v>0</v>
      </c>
      <c r="Y77" s="175"/>
      <c r="Z77" s="175">
        <f t="shared" si="23"/>
        <v>0</v>
      </c>
      <c r="AA77" s="175"/>
      <c r="AK77" s="177">
        <f t="shared" si="29"/>
        <v>0.33867031029207395</v>
      </c>
      <c r="AL77" s="171">
        <f t="shared" si="24"/>
        <v>116000000</v>
      </c>
      <c r="AN77" s="97">
        <v>20</v>
      </c>
      <c r="AO77" s="172">
        <f>116*1000000*AN77</f>
        <v>2320000000</v>
      </c>
      <c r="AP77" s="199">
        <f t="shared" si="25"/>
        <v>59335038.363171354</v>
      </c>
      <c r="AQ77" s="95">
        <v>20</v>
      </c>
      <c r="AR77" s="95">
        <v>0.2</v>
      </c>
      <c r="AW77" s="102"/>
      <c r="AY77" s="101">
        <v>1</v>
      </c>
      <c r="BB77" s="95">
        <v>0.01</v>
      </c>
      <c r="BC77" s="95" t="s">
        <v>509</v>
      </c>
    </row>
    <row r="78" spans="1:55">
      <c r="A78" s="95" t="str">
        <f t="shared" si="28"/>
        <v>\cite{Radaal2012}</v>
      </c>
      <c r="B78" s="97" t="s">
        <v>499</v>
      </c>
      <c r="C78" s="97">
        <v>2012</v>
      </c>
      <c r="D78" s="97"/>
      <c r="E78" s="11">
        <f t="shared" si="20"/>
        <v>2012</v>
      </c>
      <c r="F78" s="96">
        <f>LOOKUP(E78,Total_wind_installed_capacity!$A$3:$A$28,Total_wind_installed_capacity!$H$3:$H$28)</f>
        <v>270.84683750000005</v>
      </c>
      <c r="G78" s="97" t="s">
        <v>27</v>
      </c>
      <c r="H78" s="180" t="s">
        <v>22</v>
      </c>
      <c r="I78" s="97" t="s">
        <v>507</v>
      </c>
      <c r="J78" s="172">
        <v>2300</v>
      </c>
      <c r="K78" s="95">
        <f t="shared" si="21"/>
        <v>17</v>
      </c>
      <c r="L78" s="173">
        <f>17*J78</f>
        <v>39100</v>
      </c>
      <c r="P78" s="95" t="s">
        <v>348</v>
      </c>
      <c r="R78" s="97"/>
      <c r="S78" s="180" t="s">
        <v>340</v>
      </c>
      <c r="V78" s="174">
        <f t="shared" si="22"/>
        <v>0</v>
      </c>
      <c r="X78" s="175">
        <f t="shared" si="19"/>
        <v>0</v>
      </c>
      <c r="Y78" s="175"/>
      <c r="Z78" s="175">
        <f t="shared" si="23"/>
        <v>0</v>
      </c>
      <c r="AA78" s="175"/>
      <c r="AK78" s="177">
        <f t="shared" si="29"/>
        <v>0.33867031029207395</v>
      </c>
      <c r="AL78" s="171">
        <f t="shared" si="24"/>
        <v>116000000</v>
      </c>
      <c r="AN78" s="97">
        <v>20</v>
      </c>
      <c r="AO78" s="172">
        <f>116*1000000*AN78</f>
        <v>2320000000</v>
      </c>
      <c r="AP78" s="199">
        <f t="shared" si="25"/>
        <v>59335038.363171354</v>
      </c>
      <c r="AQ78" s="95">
        <v>21</v>
      </c>
      <c r="AR78" s="95">
        <v>0.2</v>
      </c>
      <c r="AW78" s="102"/>
      <c r="AY78" s="101">
        <v>0.95</v>
      </c>
      <c r="BB78" s="95">
        <v>0.01</v>
      </c>
      <c r="BC78" s="95" t="s">
        <v>510</v>
      </c>
    </row>
    <row r="79" spans="1:55">
      <c r="A79" s="95" t="str">
        <f t="shared" si="28"/>
        <v>\cite{Radaal2012}</v>
      </c>
      <c r="B79" s="97" t="s">
        <v>499</v>
      </c>
      <c r="C79" s="97">
        <v>2012</v>
      </c>
      <c r="D79" s="97"/>
      <c r="E79" s="11">
        <f t="shared" si="20"/>
        <v>2012</v>
      </c>
      <c r="F79" s="96">
        <f>LOOKUP(E79,Total_wind_installed_capacity!$A$3:$A$28,Total_wind_installed_capacity!$H$3:$H$28)</f>
        <v>270.84683750000005</v>
      </c>
      <c r="G79" s="97" t="s">
        <v>27</v>
      </c>
      <c r="H79" s="180" t="s">
        <v>22</v>
      </c>
      <c r="I79" s="97" t="s">
        <v>507</v>
      </c>
      <c r="J79" s="172">
        <v>2300</v>
      </c>
      <c r="K79" s="95">
        <f t="shared" si="21"/>
        <v>17</v>
      </c>
      <c r="L79" s="173">
        <f>17*J79</f>
        <v>39100</v>
      </c>
      <c r="P79" s="95" t="s">
        <v>348</v>
      </c>
      <c r="R79" s="97"/>
      <c r="S79" s="180" t="s">
        <v>340</v>
      </c>
      <c r="V79" s="174">
        <f t="shared" si="22"/>
        <v>0</v>
      </c>
      <c r="X79" s="175">
        <f t="shared" si="19"/>
        <v>0</v>
      </c>
      <c r="Y79" s="175"/>
      <c r="Z79" s="175">
        <f t="shared" si="23"/>
        <v>0</v>
      </c>
      <c r="AA79" s="175"/>
      <c r="AK79" s="177">
        <f t="shared" si="29"/>
        <v>0.33867031029207395</v>
      </c>
      <c r="AL79" s="171">
        <f t="shared" si="24"/>
        <v>116000000</v>
      </c>
      <c r="AN79" s="97">
        <v>20</v>
      </c>
      <c r="AO79" s="172">
        <f>116*1000000*AN79</f>
        <v>2320000000</v>
      </c>
      <c r="AP79" s="199">
        <f t="shared" si="25"/>
        <v>59335038.363171354</v>
      </c>
      <c r="AQ79" s="95">
        <v>24</v>
      </c>
      <c r="AR79" s="95">
        <v>0.2</v>
      </c>
      <c r="AW79" s="102"/>
      <c r="AY79" s="101">
        <v>0.83</v>
      </c>
      <c r="BB79" s="95">
        <v>0.01</v>
      </c>
      <c r="BC79" s="95" t="s">
        <v>511</v>
      </c>
    </row>
    <row r="80" spans="1:55">
      <c r="A80" s="95" t="str">
        <f t="shared" si="28"/>
        <v>\cite{Radaal2012}</v>
      </c>
      <c r="B80" s="97" t="s">
        <v>499</v>
      </c>
      <c r="C80" s="97">
        <v>2012</v>
      </c>
      <c r="D80" s="97"/>
      <c r="E80" s="11">
        <f t="shared" si="20"/>
        <v>2012</v>
      </c>
      <c r="F80" s="96">
        <f>LOOKUP(E80,Total_wind_installed_capacity!$A$3:$A$28,Total_wind_installed_capacity!$H$3:$H$28)</f>
        <v>270.84683750000005</v>
      </c>
      <c r="G80" s="97" t="s">
        <v>27</v>
      </c>
      <c r="H80" s="180" t="s">
        <v>22</v>
      </c>
      <c r="I80" s="97" t="s">
        <v>507</v>
      </c>
      <c r="J80" s="172">
        <v>750</v>
      </c>
      <c r="K80" s="95">
        <f t="shared" si="21"/>
        <v>5</v>
      </c>
      <c r="L80" s="173">
        <f>5*J80</f>
        <v>3750</v>
      </c>
      <c r="P80" s="95" t="s">
        <v>348</v>
      </c>
      <c r="R80" s="97"/>
      <c r="S80" s="180" t="s">
        <v>340</v>
      </c>
      <c r="V80" s="174">
        <f t="shared" si="22"/>
        <v>0</v>
      </c>
      <c r="X80" s="175">
        <f t="shared" si="19"/>
        <v>0</v>
      </c>
      <c r="Y80" s="175"/>
      <c r="Z80" s="175">
        <f t="shared" si="23"/>
        <v>0</v>
      </c>
      <c r="AA80" s="175"/>
      <c r="AK80" s="177">
        <f t="shared" si="29"/>
        <v>0.24353120243531201</v>
      </c>
      <c r="AL80" s="171">
        <f t="shared" si="24"/>
        <v>8000000</v>
      </c>
      <c r="AN80" s="97">
        <v>20</v>
      </c>
      <c r="AO80" s="172">
        <f>8*1000000*AN80</f>
        <v>160000000</v>
      </c>
      <c r="AP80" s="199">
        <f t="shared" si="25"/>
        <v>42666666.666666664</v>
      </c>
      <c r="AQ80" s="95">
        <v>14.4</v>
      </c>
      <c r="AR80" s="95">
        <v>0.2</v>
      </c>
      <c r="AW80" s="102"/>
      <c r="AY80" s="101">
        <v>1.39</v>
      </c>
      <c r="BB80" s="95">
        <v>0.01</v>
      </c>
      <c r="BC80" s="95" t="s">
        <v>512</v>
      </c>
    </row>
    <row r="81" spans="1:55">
      <c r="A81" s="95" t="str">
        <f t="shared" si="28"/>
        <v>\cite{Radaal2012}</v>
      </c>
      <c r="B81" s="97" t="s">
        <v>499</v>
      </c>
      <c r="C81" s="97">
        <v>2012</v>
      </c>
      <c r="D81" s="97"/>
      <c r="E81" s="11">
        <f t="shared" si="20"/>
        <v>2012</v>
      </c>
      <c r="F81" s="96">
        <f>LOOKUP(E81,Total_wind_installed_capacity!$A$3:$A$28,Total_wind_installed_capacity!$H$3:$H$28)</f>
        <v>270.84683750000005</v>
      </c>
      <c r="G81" s="97" t="s">
        <v>27</v>
      </c>
      <c r="H81" s="180" t="s">
        <v>22</v>
      </c>
      <c r="I81" s="97" t="s">
        <v>507</v>
      </c>
      <c r="J81" s="172">
        <v>750</v>
      </c>
      <c r="K81" s="95">
        <f t="shared" si="21"/>
        <v>5</v>
      </c>
      <c r="L81" s="173">
        <f>5*J81</f>
        <v>3750</v>
      </c>
      <c r="P81" s="95" t="s">
        <v>348</v>
      </c>
      <c r="R81" s="97"/>
      <c r="S81" s="180" t="s">
        <v>340</v>
      </c>
      <c r="V81" s="174">
        <f t="shared" si="22"/>
        <v>0</v>
      </c>
      <c r="X81" s="175">
        <f t="shared" si="19"/>
        <v>0</v>
      </c>
      <c r="Y81" s="175"/>
      <c r="Z81" s="175">
        <f t="shared" si="23"/>
        <v>0</v>
      </c>
      <c r="AA81" s="175"/>
      <c r="AK81" s="177">
        <f t="shared" si="29"/>
        <v>0.24353120243531201</v>
      </c>
      <c r="AL81" s="171">
        <f t="shared" si="24"/>
        <v>8000000</v>
      </c>
      <c r="AN81" s="97">
        <v>20</v>
      </c>
      <c r="AO81" s="172">
        <f>8*1000000*AN81</f>
        <v>160000000</v>
      </c>
      <c r="AP81" s="199">
        <f t="shared" si="25"/>
        <v>42666666.666666664</v>
      </c>
      <c r="AQ81" s="95">
        <v>13.8</v>
      </c>
      <c r="AR81" s="95">
        <v>0.2</v>
      </c>
      <c r="AW81" s="102"/>
      <c r="AY81" s="101">
        <v>1.44</v>
      </c>
      <c r="BB81" s="95">
        <v>0.01</v>
      </c>
      <c r="BC81" s="95" t="s">
        <v>510</v>
      </c>
    </row>
    <row r="82" spans="1:55">
      <c r="A82" s="95" t="str">
        <f t="shared" si="28"/>
        <v>\cite{Radaal2012}</v>
      </c>
      <c r="B82" s="97" t="s">
        <v>499</v>
      </c>
      <c r="C82" s="97">
        <v>2012</v>
      </c>
      <c r="D82" s="97"/>
      <c r="E82" s="11">
        <f t="shared" si="20"/>
        <v>2012</v>
      </c>
      <c r="F82" s="96">
        <f>LOOKUP(E82,Total_wind_installed_capacity!$A$3:$A$28,Total_wind_installed_capacity!$H$3:$H$28)</f>
        <v>270.84683750000005</v>
      </c>
      <c r="G82" s="97" t="s">
        <v>27</v>
      </c>
      <c r="H82" s="180" t="s">
        <v>22</v>
      </c>
      <c r="I82" s="97" t="s">
        <v>507</v>
      </c>
      <c r="J82" s="172">
        <v>750</v>
      </c>
      <c r="K82" s="95">
        <f t="shared" si="21"/>
        <v>5</v>
      </c>
      <c r="L82" s="173">
        <f>5*J82</f>
        <v>3750</v>
      </c>
      <c r="P82" s="95" t="s">
        <v>348</v>
      </c>
      <c r="R82" s="97"/>
      <c r="S82" s="180" t="s">
        <v>340</v>
      </c>
      <c r="V82" s="174">
        <f t="shared" si="22"/>
        <v>0</v>
      </c>
      <c r="X82" s="175">
        <f t="shared" si="19"/>
        <v>0</v>
      </c>
      <c r="Y82" s="175"/>
      <c r="Z82" s="175">
        <f t="shared" si="23"/>
        <v>0</v>
      </c>
      <c r="AA82" s="175"/>
      <c r="AK82" s="177">
        <f t="shared" si="29"/>
        <v>0.24353120243531201</v>
      </c>
      <c r="AL82" s="171">
        <f t="shared" si="24"/>
        <v>8000000</v>
      </c>
      <c r="AN82" s="97">
        <v>20</v>
      </c>
      <c r="AO82" s="172">
        <f>8*1000000*AN82</f>
        <v>160000000</v>
      </c>
      <c r="AP82" s="199">
        <f t="shared" si="25"/>
        <v>42666666.666666664</v>
      </c>
      <c r="AQ82" s="95">
        <v>15.6</v>
      </c>
      <c r="AR82" s="95">
        <v>0.2</v>
      </c>
      <c r="AW82" s="102"/>
      <c r="AY82" s="101">
        <v>1.27</v>
      </c>
      <c r="BB82" s="95">
        <v>0.01</v>
      </c>
      <c r="BC82" s="95" t="s">
        <v>511</v>
      </c>
    </row>
    <row r="83" spans="1:55">
      <c r="A83" s="95" t="str">
        <f t="shared" si="28"/>
        <v>\cite{Rajaei2013}</v>
      </c>
      <c r="B83" s="97" t="s">
        <v>513</v>
      </c>
      <c r="C83" s="97">
        <v>2013</v>
      </c>
      <c r="D83" s="97"/>
      <c r="E83" s="11">
        <f t="shared" si="20"/>
        <v>2013</v>
      </c>
      <c r="F83" s="96">
        <f>LOOKUP(E83,Total_wind_installed_capacity!$A$3:$A$28,Total_wind_installed_capacity!$H$3:$H$28)</f>
        <v>310.36672750000002</v>
      </c>
      <c r="G83" s="97" t="s">
        <v>27</v>
      </c>
      <c r="H83" s="180" t="s">
        <v>514</v>
      </c>
      <c r="I83" s="97" t="s">
        <v>214</v>
      </c>
      <c r="J83" s="172">
        <v>1800</v>
      </c>
      <c r="K83" s="95">
        <f t="shared" si="21"/>
        <v>90</v>
      </c>
      <c r="L83" s="173">
        <f>90*J83</f>
        <v>162000</v>
      </c>
      <c r="M83" s="181" t="s">
        <v>515</v>
      </c>
      <c r="P83" s="95" t="s">
        <v>348</v>
      </c>
      <c r="R83" s="97"/>
      <c r="S83" s="180" t="s">
        <v>340</v>
      </c>
      <c r="V83" s="174">
        <f t="shared" si="22"/>
        <v>0</v>
      </c>
      <c r="X83" s="175">
        <f t="shared" si="19"/>
        <v>0</v>
      </c>
      <c r="Y83" s="175"/>
      <c r="Z83" s="175">
        <f t="shared" si="23"/>
        <v>0</v>
      </c>
      <c r="AA83" s="175"/>
      <c r="AK83" s="177">
        <f t="shared" si="29"/>
        <v>0.24522239134111279</v>
      </c>
      <c r="AL83" s="171">
        <f t="shared" si="24"/>
        <v>348000000</v>
      </c>
      <c r="AN83" s="97">
        <v>26</v>
      </c>
      <c r="AO83" s="172">
        <f>29*1000000*12*AN83</f>
        <v>9048000000</v>
      </c>
      <c r="AP83" s="199">
        <f t="shared" si="25"/>
        <v>55851851.851851851</v>
      </c>
      <c r="AQ83" s="95">
        <v>25.5</v>
      </c>
      <c r="AR83" s="95">
        <v>0.1</v>
      </c>
      <c r="AW83" s="102"/>
      <c r="AY83" s="178">
        <f>12.2/12</f>
        <v>1.0166666666666666</v>
      </c>
      <c r="BB83" s="98">
        <f>0.2/12</f>
        <v>1.6666666666666666E-2</v>
      </c>
    </row>
    <row r="84" spans="1:55">
      <c r="A84" s="95" t="str">
        <f t="shared" si="28"/>
        <v>\cite{Uddin2014}</v>
      </c>
      <c r="B84" s="97" t="s">
        <v>149</v>
      </c>
      <c r="C84" s="97">
        <v>2014</v>
      </c>
      <c r="D84" s="97"/>
      <c r="E84" s="11">
        <f t="shared" si="20"/>
        <v>2014</v>
      </c>
      <c r="F84" s="96">
        <f>LOOKUP(E84,Total_wind_installed_capacity!$A$3:$A$28,Total_wind_installed_capacity!$H$3:$H$28)</f>
        <v>360.68525</v>
      </c>
      <c r="G84" s="97" t="s">
        <v>27</v>
      </c>
      <c r="H84" s="180" t="s">
        <v>33</v>
      </c>
      <c r="I84" s="97" t="s">
        <v>516</v>
      </c>
      <c r="J84" s="172">
        <v>0.3</v>
      </c>
      <c r="K84" s="95">
        <f t="shared" si="21"/>
        <v>1</v>
      </c>
      <c r="L84" s="173">
        <f t="shared" ref="L84:L93" si="30">1*J84</f>
        <v>0.3</v>
      </c>
      <c r="M84" s="95" t="s">
        <v>517</v>
      </c>
      <c r="P84" s="95" t="s">
        <v>348</v>
      </c>
      <c r="Q84" s="95">
        <v>0.25</v>
      </c>
      <c r="R84" s="97">
        <v>36</v>
      </c>
      <c r="S84" s="180" t="s">
        <v>356</v>
      </c>
      <c r="T84" s="172">
        <v>532</v>
      </c>
      <c r="V84" s="174">
        <f t="shared" si="22"/>
        <v>147.77777777777777</v>
      </c>
      <c r="X84" s="175">
        <f t="shared" si="19"/>
        <v>1.7733333333333334</v>
      </c>
      <c r="Y84" s="175"/>
      <c r="Z84" s="175">
        <f t="shared" si="23"/>
        <v>0.49259259259259258</v>
      </c>
      <c r="AA84" s="175"/>
      <c r="AK84" s="177">
        <f t="shared" si="29"/>
        <v>4.2998477929984777E-2</v>
      </c>
      <c r="AL84" s="171">
        <f t="shared" si="24"/>
        <v>113</v>
      </c>
      <c r="AN84" s="97">
        <v>20</v>
      </c>
      <c r="AO84" s="172">
        <f>113*AN84</f>
        <v>2260</v>
      </c>
      <c r="AP84" s="199">
        <f t="shared" si="25"/>
        <v>7533333.333333334</v>
      </c>
      <c r="AW84" s="102">
        <f t="shared" ref="AW84:AW91" si="31">T84/3.6/AO84</f>
        <v>6.5388397246804328E-2</v>
      </c>
      <c r="AY84" s="99">
        <f t="shared" ref="AY84:AY100" si="32">AN84*AW84</f>
        <v>1.3077679449360866</v>
      </c>
    </row>
    <row r="85" spans="1:55">
      <c r="A85" s="95" t="str">
        <f t="shared" si="28"/>
        <v>\cite{Uddin2014}</v>
      </c>
      <c r="B85" s="97" t="s">
        <v>149</v>
      </c>
      <c r="C85" s="97">
        <v>2014</v>
      </c>
      <c r="D85" s="97"/>
      <c r="E85" s="11">
        <f t="shared" si="20"/>
        <v>2014</v>
      </c>
      <c r="F85" s="96">
        <f>LOOKUP(E85,Total_wind_installed_capacity!$A$3:$A$28,Total_wind_installed_capacity!$H$3:$H$28)</f>
        <v>360.68525</v>
      </c>
      <c r="G85" s="97" t="s">
        <v>27</v>
      </c>
      <c r="H85" s="180" t="s">
        <v>33</v>
      </c>
      <c r="I85" s="97" t="s">
        <v>516</v>
      </c>
      <c r="J85" s="172">
        <v>0.3</v>
      </c>
      <c r="K85" s="95">
        <f t="shared" si="21"/>
        <v>1</v>
      </c>
      <c r="L85" s="173">
        <f t="shared" si="30"/>
        <v>0.3</v>
      </c>
      <c r="M85" s="95" t="s">
        <v>517</v>
      </c>
      <c r="P85" s="95" t="s">
        <v>348</v>
      </c>
      <c r="Q85" s="95">
        <v>0.25</v>
      </c>
      <c r="R85" s="97">
        <v>30</v>
      </c>
      <c r="S85" s="180" t="s">
        <v>356</v>
      </c>
      <c r="T85" s="172">
        <v>532</v>
      </c>
      <c r="V85" s="174">
        <f t="shared" si="22"/>
        <v>147.77777777777777</v>
      </c>
      <c r="X85" s="175">
        <f t="shared" si="19"/>
        <v>1.7733333333333334</v>
      </c>
      <c r="Y85" s="175"/>
      <c r="Z85" s="175">
        <f t="shared" si="23"/>
        <v>0.49259259259259258</v>
      </c>
      <c r="AA85" s="175"/>
      <c r="AK85" s="177">
        <f t="shared" si="29"/>
        <v>5.3272450532724502E-2</v>
      </c>
      <c r="AL85" s="171">
        <f t="shared" si="24"/>
        <v>140</v>
      </c>
      <c r="AN85" s="97">
        <v>20</v>
      </c>
      <c r="AO85" s="172">
        <f>140*AN85</f>
        <v>2800</v>
      </c>
      <c r="AP85" s="199">
        <f t="shared" si="25"/>
        <v>9333333.333333334</v>
      </c>
      <c r="AW85" s="102">
        <f t="shared" si="31"/>
        <v>5.2777777777777778E-2</v>
      </c>
      <c r="AY85" s="99">
        <f t="shared" si="32"/>
        <v>1.0555555555555556</v>
      </c>
    </row>
    <row r="86" spans="1:55">
      <c r="A86" s="95" t="str">
        <f t="shared" si="28"/>
        <v>\cite{Uddin2014}</v>
      </c>
      <c r="B86" s="97" t="s">
        <v>149</v>
      </c>
      <c r="C86" s="97">
        <v>2014</v>
      </c>
      <c r="D86" s="97"/>
      <c r="E86" s="11">
        <f t="shared" si="20"/>
        <v>2014</v>
      </c>
      <c r="F86" s="96">
        <f>LOOKUP(E86,Total_wind_installed_capacity!$A$3:$A$28,Total_wind_installed_capacity!$H$3:$H$28)</f>
        <v>360.68525</v>
      </c>
      <c r="G86" s="97" t="s">
        <v>27</v>
      </c>
      <c r="H86" s="180" t="s">
        <v>33</v>
      </c>
      <c r="I86" s="97" t="s">
        <v>516</v>
      </c>
      <c r="J86" s="172">
        <v>0.3</v>
      </c>
      <c r="K86" s="95">
        <f t="shared" si="21"/>
        <v>1</v>
      </c>
      <c r="L86" s="173">
        <f t="shared" si="30"/>
        <v>0.3</v>
      </c>
      <c r="M86" s="95" t="s">
        <v>517</v>
      </c>
      <c r="P86" s="95" t="s">
        <v>348</v>
      </c>
      <c r="Q86" s="95">
        <v>0.25</v>
      </c>
      <c r="R86" s="97">
        <v>30</v>
      </c>
      <c r="S86" s="180" t="s">
        <v>356</v>
      </c>
      <c r="T86" s="172">
        <v>532</v>
      </c>
      <c r="V86" s="174">
        <f t="shared" si="22"/>
        <v>147.77777777777777</v>
      </c>
      <c r="X86" s="175">
        <f t="shared" si="19"/>
        <v>1.7733333333333334</v>
      </c>
      <c r="Y86" s="175"/>
      <c r="Z86" s="175">
        <f t="shared" si="23"/>
        <v>0.49259259259259258</v>
      </c>
      <c r="AA86" s="175"/>
      <c r="AK86" s="177">
        <f t="shared" si="29"/>
        <v>0.20509893455098935</v>
      </c>
      <c r="AL86" s="171">
        <f t="shared" si="24"/>
        <v>539</v>
      </c>
      <c r="AN86" s="97">
        <v>20</v>
      </c>
      <c r="AO86" s="172">
        <f>539*AN86</f>
        <v>10780</v>
      </c>
      <c r="AP86" s="199">
        <f t="shared" si="25"/>
        <v>35933333.333333336</v>
      </c>
      <c r="AW86" s="102">
        <f t="shared" si="31"/>
        <v>1.3708513708513708E-2</v>
      </c>
      <c r="AY86" s="99">
        <f t="shared" si="32"/>
        <v>0.27417027417027418</v>
      </c>
    </row>
    <row r="87" spans="1:55">
      <c r="A87" s="95" t="str">
        <f t="shared" si="28"/>
        <v>\cite{Uddin2014}</v>
      </c>
      <c r="B87" s="97" t="s">
        <v>149</v>
      </c>
      <c r="C87" s="97">
        <v>2014</v>
      </c>
      <c r="D87" s="97"/>
      <c r="E87" s="11">
        <f t="shared" si="20"/>
        <v>2014</v>
      </c>
      <c r="F87" s="96">
        <f>LOOKUP(E87,Total_wind_installed_capacity!$A$3:$A$28,Total_wind_installed_capacity!$H$3:$H$28)</f>
        <v>360.68525</v>
      </c>
      <c r="G87" s="97" t="s">
        <v>27</v>
      </c>
      <c r="H87" s="180" t="s">
        <v>33</v>
      </c>
      <c r="I87" s="97" t="s">
        <v>516</v>
      </c>
      <c r="J87" s="172">
        <v>0.5</v>
      </c>
      <c r="K87" s="95">
        <f t="shared" si="21"/>
        <v>1</v>
      </c>
      <c r="L87" s="173">
        <f t="shared" si="30"/>
        <v>0.5</v>
      </c>
      <c r="M87" s="95" t="s">
        <v>518</v>
      </c>
      <c r="P87" s="95" t="s">
        <v>348</v>
      </c>
      <c r="Q87" s="95">
        <v>1.7</v>
      </c>
      <c r="R87" s="97">
        <v>36</v>
      </c>
      <c r="S87" s="180" t="s">
        <v>356</v>
      </c>
      <c r="T87" s="172">
        <v>590</v>
      </c>
      <c r="V87" s="174">
        <f t="shared" si="22"/>
        <v>163.88888888888889</v>
      </c>
      <c r="X87" s="175">
        <f t="shared" si="19"/>
        <v>1.18</v>
      </c>
      <c r="Y87" s="175"/>
      <c r="Z87" s="175">
        <f t="shared" si="23"/>
        <v>0.32777777777777778</v>
      </c>
      <c r="AA87" s="175"/>
      <c r="AK87" s="177">
        <f t="shared" si="29"/>
        <v>5.8447488584474884E-2</v>
      </c>
      <c r="AL87" s="171">
        <f t="shared" si="24"/>
        <v>256</v>
      </c>
      <c r="AN87" s="97">
        <v>20</v>
      </c>
      <c r="AO87" s="172">
        <f>256*AN87</f>
        <v>5120</v>
      </c>
      <c r="AP87" s="199">
        <f t="shared" si="25"/>
        <v>10240000</v>
      </c>
      <c r="AW87" s="102">
        <f t="shared" si="31"/>
        <v>3.2009548611111112E-2</v>
      </c>
      <c r="AY87" s="99">
        <f t="shared" si="32"/>
        <v>0.64019097222222221</v>
      </c>
    </row>
    <row r="88" spans="1:55">
      <c r="A88" s="95" t="str">
        <f t="shared" si="28"/>
        <v>\cite{Uddin2014}</v>
      </c>
      <c r="B88" s="97" t="s">
        <v>149</v>
      </c>
      <c r="C88" s="97">
        <v>2014</v>
      </c>
      <c r="D88" s="97"/>
      <c r="E88" s="11">
        <f t="shared" si="20"/>
        <v>2014</v>
      </c>
      <c r="F88" s="96">
        <f>LOOKUP(E88,Total_wind_installed_capacity!$A$3:$A$28,Total_wind_installed_capacity!$H$3:$H$28)</f>
        <v>360.68525</v>
      </c>
      <c r="G88" s="97" t="s">
        <v>27</v>
      </c>
      <c r="H88" s="180" t="s">
        <v>33</v>
      </c>
      <c r="I88" s="97" t="s">
        <v>516</v>
      </c>
      <c r="J88" s="172">
        <v>0.5</v>
      </c>
      <c r="K88" s="95">
        <f t="shared" si="21"/>
        <v>1</v>
      </c>
      <c r="L88" s="173">
        <f t="shared" si="30"/>
        <v>0.5</v>
      </c>
      <c r="M88" s="95" t="s">
        <v>518</v>
      </c>
      <c r="P88" s="95" t="s">
        <v>348</v>
      </c>
      <c r="Q88" s="95">
        <v>1.7</v>
      </c>
      <c r="R88" s="97">
        <v>30</v>
      </c>
      <c r="S88" s="180" t="s">
        <v>356</v>
      </c>
      <c r="T88" s="172">
        <v>590</v>
      </c>
      <c r="V88" s="174">
        <f t="shared" si="22"/>
        <v>163.88888888888889</v>
      </c>
      <c r="X88" s="175">
        <f t="shared" si="19"/>
        <v>1.18</v>
      </c>
      <c r="Y88" s="175"/>
      <c r="Z88" s="175">
        <f t="shared" si="23"/>
        <v>0.32777777777777778</v>
      </c>
      <c r="AA88" s="175"/>
      <c r="AK88" s="177">
        <f t="shared" si="29"/>
        <v>7.1917808219178078E-2</v>
      </c>
      <c r="AL88" s="171">
        <f t="shared" si="24"/>
        <v>315</v>
      </c>
      <c r="AN88" s="97">
        <v>20</v>
      </c>
      <c r="AO88" s="172">
        <f>315*AN88</f>
        <v>6300</v>
      </c>
      <c r="AP88" s="199">
        <f t="shared" si="25"/>
        <v>12600000</v>
      </c>
      <c r="AW88" s="102">
        <f t="shared" si="31"/>
        <v>2.6014109347442679E-2</v>
      </c>
      <c r="AY88" s="99">
        <f t="shared" si="32"/>
        <v>0.52028218694885364</v>
      </c>
    </row>
    <row r="89" spans="1:55">
      <c r="A89" s="95" t="str">
        <f t="shared" si="28"/>
        <v>\cite{Uddin2014}</v>
      </c>
      <c r="B89" s="97" t="s">
        <v>149</v>
      </c>
      <c r="C89" s="97">
        <v>2014</v>
      </c>
      <c r="D89" s="97"/>
      <c r="E89" s="11">
        <f t="shared" si="20"/>
        <v>2014</v>
      </c>
      <c r="F89" s="96">
        <f>LOOKUP(E89,Total_wind_installed_capacity!$A$3:$A$28,Total_wind_installed_capacity!$H$3:$H$28)</f>
        <v>360.68525</v>
      </c>
      <c r="G89" s="97" t="s">
        <v>27</v>
      </c>
      <c r="H89" s="180" t="s">
        <v>33</v>
      </c>
      <c r="I89" s="97" t="s">
        <v>516</v>
      </c>
      <c r="J89" s="172">
        <v>0.5</v>
      </c>
      <c r="K89" s="95">
        <f t="shared" si="21"/>
        <v>1</v>
      </c>
      <c r="L89" s="173">
        <f t="shared" si="30"/>
        <v>0.5</v>
      </c>
      <c r="M89" s="95" t="s">
        <v>518</v>
      </c>
      <c r="P89" s="95" t="s">
        <v>348</v>
      </c>
      <c r="Q89" s="95">
        <v>1.7</v>
      </c>
      <c r="R89" s="97">
        <v>30</v>
      </c>
      <c r="S89" s="180" t="s">
        <v>356</v>
      </c>
      <c r="T89" s="172">
        <v>590</v>
      </c>
      <c r="V89" s="174">
        <f t="shared" si="22"/>
        <v>163.88888888888889</v>
      </c>
      <c r="X89" s="175">
        <f t="shared" si="19"/>
        <v>1.18</v>
      </c>
      <c r="Y89" s="175"/>
      <c r="Z89" s="175">
        <f t="shared" si="23"/>
        <v>0.32777777777777778</v>
      </c>
      <c r="AA89" s="175"/>
      <c r="AK89" s="177">
        <f t="shared" si="29"/>
        <v>0.40684931506849314</v>
      </c>
      <c r="AL89" s="171">
        <f t="shared" si="24"/>
        <v>1782</v>
      </c>
      <c r="AN89" s="97">
        <v>20</v>
      </c>
      <c r="AO89" s="172">
        <f>1782*AN89</f>
        <v>35640</v>
      </c>
      <c r="AP89" s="199">
        <f t="shared" si="25"/>
        <v>71280000</v>
      </c>
      <c r="AW89" s="102">
        <f t="shared" si="31"/>
        <v>4.5984536725277468E-3</v>
      </c>
      <c r="AY89" s="99">
        <f t="shared" si="32"/>
        <v>9.1969073450554939E-2</v>
      </c>
    </row>
    <row r="90" spans="1:55">
      <c r="A90" s="95" t="str">
        <f t="shared" si="28"/>
        <v>\cite{Mithraratne2009}</v>
      </c>
      <c r="B90" s="97" t="s">
        <v>431</v>
      </c>
      <c r="C90" s="97">
        <v>2009</v>
      </c>
      <c r="D90" s="97"/>
      <c r="E90" s="11">
        <f t="shared" si="20"/>
        <v>2009</v>
      </c>
      <c r="F90" s="96">
        <f>LOOKUP(E90,Total_wind_installed_capacity!$A$3:$A$28,Total_wind_installed_capacity!$H$3:$H$28)</f>
        <v>151.3704745</v>
      </c>
      <c r="G90" s="97" t="s">
        <v>27</v>
      </c>
      <c r="H90" s="180" t="s">
        <v>33</v>
      </c>
      <c r="I90" s="97" t="s">
        <v>158</v>
      </c>
      <c r="J90" s="172">
        <v>1.5</v>
      </c>
      <c r="K90" s="95">
        <f t="shared" si="21"/>
        <v>1</v>
      </c>
      <c r="L90" s="173">
        <f t="shared" si="30"/>
        <v>1.5</v>
      </c>
      <c r="M90" s="95" t="s">
        <v>519</v>
      </c>
      <c r="P90" s="95" t="s">
        <v>348</v>
      </c>
      <c r="Q90" s="95">
        <v>2</v>
      </c>
      <c r="S90" s="180" t="s">
        <v>356</v>
      </c>
      <c r="T90" s="172">
        <v>20709</v>
      </c>
      <c r="V90" s="174">
        <f t="shared" si="22"/>
        <v>5752.5</v>
      </c>
      <c r="X90" s="175">
        <f t="shared" si="19"/>
        <v>13.805999999999999</v>
      </c>
      <c r="Y90" s="175"/>
      <c r="Z90" s="175">
        <f t="shared" si="23"/>
        <v>3.8349999999999995</v>
      </c>
      <c r="AA90" s="175"/>
      <c r="AK90" s="177">
        <f t="shared" si="29"/>
        <v>4.0030441400304415E-2</v>
      </c>
      <c r="AL90" s="171">
        <f t="shared" si="24"/>
        <v>526</v>
      </c>
      <c r="AN90" s="97">
        <v>20</v>
      </c>
      <c r="AO90" s="172">
        <v>10520</v>
      </c>
      <c r="AP90" s="199">
        <f t="shared" si="25"/>
        <v>7013333.333333333</v>
      </c>
      <c r="AW90" s="102">
        <f t="shared" si="31"/>
        <v>0.54681558935361219</v>
      </c>
      <c r="AY90" s="99">
        <f t="shared" si="32"/>
        <v>10.936311787072244</v>
      </c>
    </row>
    <row r="91" spans="1:55">
      <c r="A91" s="95" t="str">
        <f t="shared" si="28"/>
        <v>\cite{Mithraratne2009}</v>
      </c>
      <c r="B91" s="97" t="s">
        <v>431</v>
      </c>
      <c r="C91" s="97">
        <v>2009</v>
      </c>
      <c r="D91" s="97"/>
      <c r="E91" s="11">
        <f t="shared" si="20"/>
        <v>2009</v>
      </c>
      <c r="F91" s="96">
        <f>LOOKUP(E91,Total_wind_installed_capacity!$A$3:$A$28,Total_wind_installed_capacity!$H$3:$H$28)</f>
        <v>151.3704745</v>
      </c>
      <c r="G91" s="97" t="s">
        <v>27</v>
      </c>
      <c r="H91" s="180" t="s">
        <v>33</v>
      </c>
      <c r="I91" s="97" t="s">
        <v>158</v>
      </c>
      <c r="J91" s="172">
        <v>1.5</v>
      </c>
      <c r="K91" s="95">
        <f t="shared" si="21"/>
        <v>1</v>
      </c>
      <c r="L91" s="173">
        <f t="shared" si="30"/>
        <v>1.5</v>
      </c>
      <c r="M91" s="95" t="s">
        <v>519</v>
      </c>
      <c r="P91" s="95" t="s">
        <v>348</v>
      </c>
      <c r="Q91" s="95">
        <v>2</v>
      </c>
      <c r="S91" s="180" t="s">
        <v>356</v>
      </c>
      <c r="T91" s="172">
        <v>20709</v>
      </c>
      <c r="V91" s="174">
        <f t="shared" si="22"/>
        <v>5752.5</v>
      </c>
      <c r="X91" s="175">
        <f t="shared" si="19"/>
        <v>13.805999999999999</v>
      </c>
      <c r="Y91" s="175"/>
      <c r="Z91" s="175">
        <f t="shared" si="23"/>
        <v>3.8349999999999995</v>
      </c>
      <c r="AA91" s="175"/>
      <c r="AK91" s="177">
        <f t="shared" si="29"/>
        <v>6.4003044140030441E-2</v>
      </c>
      <c r="AL91" s="171">
        <f t="shared" si="24"/>
        <v>841</v>
      </c>
      <c r="AN91" s="97">
        <v>20</v>
      </c>
      <c r="AO91" s="172">
        <v>16820</v>
      </c>
      <c r="AP91" s="199">
        <f t="shared" si="25"/>
        <v>11213333.333333334</v>
      </c>
      <c r="AW91" s="102">
        <f t="shared" si="31"/>
        <v>0.34200356718192626</v>
      </c>
      <c r="AY91" s="99">
        <f t="shared" si="32"/>
        <v>6.8400713436385256</v>
      </c>
    </row>
    <row r="92" spans="1:55" s="104" customFormat="1">
      <c r="A92" s="95" t="str">
        <f t="shared" si="28"/>
        <v>\cite{Vargas2015}</v>
      </c>
      <c r="B92" s="104" t="s">
        <v>232</v>
      </c>
      <c r="C92" s="104">
        <v>2015</v>
      </c>
      <c r="E92" s="11">
        <f t="shared" si="20"/>
        <v>2015</v>
      </c>
      <c r="F92" s="96">
        <f>LOOKUP(E92,Total_wind_installed_capacity!$A$3:$A$28,Total_wind_installed_capacity!$H$3:$H$28)</f>
        <v>427.65899999999999</v>
      </c>
      <c r="G92" s="104" t="s">
        <v>27</v>
      </c>
      <c r="H92" s="105" t="s">
        <v>520</v>
      </c>
      <c r="I92" s="104" t="s">
        <v>233</v>
      </c>
      <c r="J92" s="172">
        <v>2000</v>
      </c>
      <c r="K92" s="95">
        <f t="shared" si="21"/>
        <v>1</v>
      </c>
      <c r="L92" s="173">
        <f t="shared" si="30"/>
        <v>2000</v>
      </c>
      <c r="P92" s="104" t="s">
        <v>348</v>
      </c>
      <c r="Q92" s="104">
        <v>80</v>
      </c>
      <c r="S92" s="105" t="s">
        <v>356</v>
      </c>
      <c r="T92" s="182">
        <f>372.61*1000*3.6</f>
        <v>1341396</v>
      </c>
      <c r="V92" s="174">
        <f t="shared" si="22"/>
        <v>372610</v>
      </c>
      <c r="X92" s="175">
        <f>T92/L92/1000</f>
        <v>0.67069800000000002</v>
      </c>
      <c r="Y92" s="175"/>
      <c r="Z92" s="175">
        <f t="shared" si="23"/>
        <v>0.186305</v>
      </c>
      <c r="AA92" s="175"/>
      <c r="AF92" s="105"/>
      <c r="AG92" s="106"/>
      <c r="AH92" s="106"/>
      <c r="AI92" s="106"/>
      <c r="AJ92" s="105"/>
      <c r="AK92" s="183">
        <f t="shared" si="29"/>
        <v>0</v>
      </c>
      <c r="AL92" s="171">
        <f t="shared" si="24"/>
        <v>0</v>
      </c>
      <c r="AM92" s="183"/>
      <c r="AN92" s="104">
        <v>20</v>
      </c>
      <c r="AO92" s="182"/>
      <c r="AP92" s="199">
        <f t="shared" si="25"/>
        <v>0</v>
      </c>
      <c r="AW92" s="184"/>
      <c r="AY92" s="99">
        <f t="shared" si="32"/>
        <v>0</v>
      </c>
    </row>
    <row r="93" spans="1:55" s="104" customFormat="1">
      <c r="A93" s="95" t="str">
        <f t="shared" si="28"/>
        <v>\cite{Vargas2015}</v>
      </c>
      <c r="B93" s="104" t="s">
        <v>232</v>
      </c>
      <c r="C93" s="104">
        <v>2015</v>
      </c>
      <c r="E93" s="11">
        <f t="shared" si="20"/>
        <v>2015</v>
      </c>
      <c r="F93" s="96">
        <f>LOOKUP(E93,Total_wind_installed_capacity!$A$3:$A$28,Total_wind_installed_capacity!$H$3:$H$28)</f>
        <v>427.65899999999999</v>
      </c>
      <c r="G93" s="104" t="s">
        <v>27</v>
      </c>
      <c r="H93" s="105" t="s">
        <v>520</v>
      </c>
      <c r="I93" s="104" t="s">
        <v>233</v>
      </c>
      <c r="J93" s="172">
        <v>2000</v>
      </c>
      <c r="K93" s="95">
        <f t="shared" si="21"/>
        <v>1</v>
      </c>
      <c r="L93" s="173">
        <f t="shared" si="30"/>
        <v>2000</v>
      </c>
      <c r="P93" s="104" t="s">
        <v>348</v>
      </c>
      <c r="Q93" s="104">
        <v>80</v>
      </c>
      <c r="S93" s="105" t="s">
        <v>356</v>
      </c>
      <c r="T93" s="182">
        <f>517.26*1000*3.6</f>
        <v>1862136</v>
      </c>
      <c r="V93" s="174">
        <f t="shared" si="22"/>
        <v>517260</v>
      </c>
      <c r="X93" s="175">
        <f t="shared" si="19"/>
        <v>0.93106800000000001</v>
      </c>
      <c r="Y93" s="175"/>
      <c r="Z93" s="175">
        <f t="shared" si="23"/>
        <v>0.25862999999999997</v>
      </c>
      <c r="AA93" s="175"/>
      <c r="AF93" s="105"/>
      <c r="AG93" s="106"/>
      <c r="AH93" s="106"/>
      <c r="AI93" s="106"/>
      <c r="AJ93" s="105"/>
      <c r="AK93" s="183">
        <f t="shared" si="29"/>
        <v>0</v>
      </c>
      <c r="AL93" s="171">
        <f t="shared" si="24"/>
        <v>0</v>
      </c>
      <c r="AM93" s="183"/>
      <c r="AN93" s="104">
        <v>20</v>
      </c>
      <c r="AO93" s="182"/>
      <c r="AP93" s="199">
        <f t="shared" si="25"/>
        <v>0</v>
      </c>
      <c r="AW93" s="184"/>
      <c r="AY93" s="99">
        <f t="shared" si="32"/>
        <v>0</v>
      </c>
    </row>
    <row r="94" spans="1:55">
      <c r="A94" s="95" t="str">
        <f>CONCATENATE("\cite{",B94,C94,"a}")</f>
        <v>\cite{Vestas2013a}</v>
      </c>
      <c r="B94" s="97" t="s">
        <v>399</v>
      </c>
      <c r="C94" s="97">
        <v>2013</v>
      </c>
      <c r="D94" s="97"/>
      <c r="E94" s="11">
        <f t="shared" si="20"/>
        <v>2013</v>
      </c>
      <c r="F94" s="96">
        <f>LOOKUP(E94,Total_wind_installed_capacity!$A$3:$A$28,Total_wind_installed_capacity!$H$3:$H$28)</f>
        <v>310.36672750000002</v>
      </c>
      <c r="G94" s="97" t="s">
        <v>27</v>
      </c>
      <c r="H94" s="180" t="s">
        <v>464</v>
      </c>
      <c r="I94" s="97" t="s">
        <v>521</v>
      </c>
      <c r="J94" s="172">
        <v>3000</v>
      </c>
      <c r="K94" s="95">
        <f t="shared" si="21"/>
        <v>30</v>
      </c>
      <c r="L94" s="173">
        <f>30*J94</f>
        <v>90000</v>
      </c>
      <c r="M94" s="95" t="s">
        <v>498</v>
      </c>
      <c r="P94" s="95" t="s">
        <v>348</v>
      </c>
      <c r="Q94" s="95">
        <v>100</v>
      </c>
      <c r="R94" s="95">
        <v>80</v>
      </c>
      <c r="S94" s="180" t="s">
        <v>356</v>
      </c>
      <c r="T94" s="172">
        <f>0.08*AO94</f>
        <v>521120000</v>
      </c>
      <c r="V94" s="174">
        <f t="shared" si="22"/>
        <v>144755555.55555555</v>
      </c>
      <c r="X94" s="175">
        <f t="shared" si="19"/>
        <v>5.7902222222222228</v>
      </c>
      <c r="Y94" s="175"/>
      <c r="Z94" s="175">
        <f t="shared" si="23"/>
        <v>1.6083950617283951</v>
      </c>
      <c r="AA94" s="175"/>
      <c r="AK94" s="177">
        <f t="shared" si="29"/>
        <v>0.41311516996448505</v>
      </c>
      <c r="AL94" s="171">
        <f t="shared" si="24"/>
        <v>325700000</v>
      </c>
      <c r="AN94" s="97">
        <v>20</v>
      </c>
      <c r="AO94" s="172">
        <f>6514*1000000</f>
        <v>6514000000</v>
      </c>
      <c r="AP94" s="199">
        <f t="shared" si="25"/>
        <v>72377777.777777776</v>
      </c>
      <c r="AW94" s="102">
        <f t="shared" ref="AW94:AW105" si="33">T94/3.6/AO94</f>
        <v>2.2222222222222223E-2</v>
      </c>
      <c r="AY94" s="99">
        <f t="shared" si="32"/>
        <v>0.44444444444444448</v>
      </c>
    </row>
    <row r="95" spans="1:55">
      <c r="A95" s="95" t="str">
        <f>CONCATENATE("\cite{",B95,C95,"b}")</f>
        <v>\cite{Vestas2013b}</v>
      </c>
      <c r="B95" s="97" t="s">
        <v>399</v>
      </c>
      <c r="C95" s="97">
        <v>2013</v>
      </c>
      <c r="D95" s="97"/>
      <c r="E95" s="11">
        <f t="shared" si="20"/>
        <v>2013</v>
      </c>
      <c r="F95" s="96">
        <f>LOOKUP(E95,Total_wind_installed_capacity!$A$3:$A$28,Total_wind_installed_capacity!$H$3:$H$28)</f>
        <v>310.36672750000002</v>
      </c>
      <c r="G95" s="97" t="s">
        <v>27</v>
      </c>
      <c r="H95" s="180" t="s">
        <v>464</v>
      </c>
      <c r="I95" s="97" t="s">
        <v>521</v>
      </c>
      <c r="J95" s="172">
        <v>2600</v>
      </c>
      <c r="K95" s="95">
        <f t="shared" si="21"/>
        <v>35</v>
      </c>
      <c r="L95" s="173">
        <f>35*J95</f>
        <v>91000</v>
      </c>
      <c r="M95" s="95" t="s">
        <v>522</v>
      </c>
      <c r="P95" s="95" t="s">
        <v>348</v>
      </c>
      <c r="Q95" s="95">
        <v>90</v>
      </c>
      <c r="R95" s="95">
        <v>80</v>
      </c>
      <c r="S95" s="180" t="s">
        <v>356</v>
      </c>
      <c r="T95" s="172">
        <f>0.1*AO95</f>
        <v>612100000</v>
      </c>
      <c r="V95" s="174">
        <f t="shared" si="22"/>
        <v>170027777.77777776</v>
      </c>
      <c r="X95" s="175">
        <f t="shared" si="19"/>
        <v>6.7263736263736265</v>
      </c>
      <c r="Y95" s="175"/>
      <c r="Z95" s="175">
        <f t="shared" si="23"/>
        <v>1.8684371184371185</v>
      </c>
      <c r="AA95" s="175"/>
      <c r="AK95" s="177">
        <f t="shared" si="29"/>
        <v>0.38392543529529832</v>
      </c>
      <c r="AL95" s="171">
        <f t="shared" si="24"/>
        <v>306050000.00000006</v>
      </c>
      <c r="AN95" s="97">
        <v>20</v>
      </c>
      <c r="AO95" s="172">
        <f>6121*1000000</f>
        <v>6121000000</v>
      </c>
      <c r="AP95" s="199">
        <f t="shared" si="25"/>
        <v>67263736.263736263</v>
      </c>
      <c r="AW95" s="102">
        <f t="shared" si="33"/>
        <v>2.7777777777777776E-2</v>
      </c>
      <c r="AY95" s="99">
        <f t="shared" si="32"/>
        <v>0.55555555555555558</v>
      </c>
    </row>
    <row r="96" spans="1:55">
      <c r="A96" s="95" t="str">
        <f>CONCATENATE("\cite{",B96,C96,"a}")</f>
        <v>\cite{Vestas2014a}</v>
      </c>
      <c r="B96" s="97" t="s">
        <v>399</v>
      </c>
      <c r="C96" s="97">
        <v>2014</v>
      </c>
      <c r="D96" s="97"/>
      <c r="E96" s="11">
        <f t="shared" si="20"/>
        <v>2014</v>
      </c>
      <c r="F96" s="96">
        <f>LOOKUP(E96,Total_wind_installed_capacity!$A$3:$A$28,Total_wind_installed_capacity!$H$3:$H$28)</f>
        <v>360.68525</v>
      </c>
      <c r="G96" s="97" t="s">
        <v>27</v>
      </c>
      <c r="H96" s="180" t="s">
        <v>464</v>
      </c>
      <c r="I96" s="97" t="s">
        <v>521</v>
      </c>
      <c r="J96" s="172">
        <v>3300</v>
      </c>
      <c r="K96" s="95">
        <f t="shared" si="21"/>
        <v>30</v>
      </c>
      <c r="L96" s="173">
        <f>30*J96</f>
        <v>99000</v>
      </c>
      <c r="M96" s="95" t="s">
        <v>523</v>
      </c>
      <c r="P96" s="95" t="s">
        <v>348</v>
      </c>
      <c r="Q96" s="95">
        <v>105</v>
      </c>
      <c r="R96" s="95">
        <v>72.5</v>
      </c>
      <c r="S96" s="180" t="s">
        <v>356</v>
      </c>
      <c r="T96" s="172">
        <f>0.08*AO96</f>
        <v>651680000</v>
      </c>
      <c r="V96" s="174">
        <f t="shared" si="22"/>
        <v>181022222.22222221</v>
      </c>
      <c r="X96" s="175">
        <f t="shared" si="19"/>
        <v>6.5826262626262624</v>
      </c>
      <c r="Y96" s="175"/>
      <c r="Z96" s="175">
        <f t="shared" si="23"/>
        <v>1.8285072951739618</v>
      </c>
      <c r="AA96" s="175"/>
      <c r="AK96" s="177">
        <f t="shared" si="29"/>
        <v>0.46965084636317511</v>
      </c>
      <c r="AL96" s="171">
        <f t="shared" si="24"/>
        <v>407300000</v>
      </c>
      <c r="AN96" s="97">
        <v>20</v>
      </c>
      <c r="AO96" s="172">
        <f>8146*1000000</f>
        <v>8146000000</v>
      </c>
      <c r="AP96" s="199">
        <f t="shared" si="25"/>
        <v>82282828.282828286</v>
      </c>
      <c r="AW96" s="102">
        <f t="shared" si="33"/>
        <v>2.222222222222222E-2</v>
      </c>
      <c r="AY96" s="99">
        <f t="shared" si="32"/>
        <v>0.44444444444444442</v>
      </c>
    </row>
    <row r="97" spans="1:51">
      <c r="A97" s="95" t="str">
        <f>CONCATENATE("\cite{",B97,C97,"b}")</f>
        <v>\cite{Vestas2014b}</v>
      </c>
      <c r="B97" s="97" t="s">
        <v>399</v>
      </c>
      <c r="C97" s="97">
        <v>2014</v>
      </c>
      <c r="D97" s="97"/>
      <c r="E97" s="11">
        <f t="shared" si="20"/>
        <v>2014</v>
      </c>
      <c r="F97" s="96">
        <f>LOOKUP(E97,Total_wind_installed_capacity!$A$3:$A$28,Total_wind_installed_capacity!$H$3:$H$28)</f>
        <v>360.68525</v>
      </c>
      <c r="G97" s="97" t="s">
        <v>27</v>
      </c>
      <c r="H97" s="180" t="s">
        <v>464</v>
      </c>
      <c r="I97" s="97" t="s">
        <v>521</v>
      </c>
      <c r="J97" s="172">
        <v>3300</v>
      </c>
      <c r="K97" s="95">
        <f t="shared" si="21"/>
        <v>30</v>
      </c>
      <c r="L97" s="173">
        <f>30*J97</f>
        <v>99000</v>
      </c>
      <c r="M97" s="95" t="s">
        <v>524</v>
      </c>
      <c r="P97" s="95" t="s">
        <v>348</v>
      </c>
      <c r="Q97" s="95">
        <v>117</v>
      </c>
      <c r="R97" s="95">
        <v>91.5</v>
      </c>
      <c r="S97" s="180" t="s">
        <v>356</v>
      </c>
      <c r="T97" s="172">
        <f>0.09*AO97</f>
        <v>661860000</v>
      </c>
      <c r="V97" s="174">
        <f t="shared" si="22"/>
        <v>183850000</v>
      </c>
      <c r="X97" s="175">
        <f t="shared" si="19"/>
        <v>6.6854545454545447</v>
      </c>
      <c r="Y97" s="175"/>
      <c r="Z97" s="175">
        <f t="shared" si="23"/>
        <v>1.8570707070707069</v>
      </c>
      <c r="AA97" s="175"/>
      <c r="AK97" s="177">
        <f t="shared" si="29"/>
        <v>0.42398874590655411</v>
      </c>
      <c r="AL97" s="171">
        <f t="shared" si="24"/>
        <v>367700000</v>
      </c>
      <c r="AN97" s="97">
        <v>20</v>
      </c>
      <c r="AO97" s="172">
        <f>7354*1000000</f>
        <v>7354000000</v>
      </c>
      <c r="AP97" s="199">
        <f t="shared" si="25"/>
        <v>74282828.282828286</v>
      </c>
      <c r="AW97" s="102">
        <f t="shared" si="33"/>
        <v>2.5000000000000001E-2</v>
      </c>
      <c r="AY97" s="99">
        <f t="shared" si="32"/>
        <v>0.5</v>
      </c>
    </row>
    <row r="98" spans="1:51">
      <c r="A98" s="95" t="str">
        <f>CONCATENATE("\cite{",B98,C98,"c}")</f>
        <v>\cite{Vestas2014c}</v>
      </c>
      <c r="B98" s="97" t="s">
        <v>399</v>
      </c>
      <c r="C98" s="97">
        <v>2014</v>
      </c>
      <c r="D98" s="97"/>
      <c r="E98" s="11">
        <f t="shared" si="20"/>
        <v>2014</v>
      </c>
      <c r="F98" s="96">
        <f>LOOKUP(E98,Total_wind_installed_capacity!$A$3:$A$28,Total_wind_installed_capacity!$H$3:$H$28)</f>
        <v>360.68525</v>
      </c>
      <c r="G98" s="97" t="s">
        <v>27</v>
      </c>
      <c r="H98" s="180" t="s">
        <v>464</v>
      </c>
      <c r="I98" s="97" t="s">
        <v>521</v>
      </c>
      <c r="J98" s="172">
        <v>3300</v>
      </c>
      <c r="K98" s="95">
        <f t="shared" si="21"/>
        <v>30</v>
      </c>
      <c r="L98" s="173">
        <f>30*J98</f>
        <v>99000</v>
      </c>
      <c r="M98" s="95" t="s">
        <v>525</v>
      </c>
      <c r="P98" s="95" t="s">
        <v>348</v>
      </c>
      <c r="Q98" s="95">
        <v>126</v>
      </c>
      <c r="R98" s="95">
        <v>117</v>
      </c>
      <c r="S98" s="180" t="s">
        <v>356</v>
      </c>
      <c r="T98" s="172">
        <f>0.12*AO98</f>
        <v>773520000</v>
      </c>
      <c r="V98" s="174">
        <f t="shared" si="22"/>
        <v>214866666.66666666</v>
      </c>
      <c r="X98" s="175">
        <f t="shared" si="19"/>
        <v>7.8133333333333335</v>
      </c>
      <c r="Y98" s="175"/>
      <c r="Z98" s="175">
        <f t="shared" si="23"/>
        <v>2.1703703703703705</v>
      </c>
      <c r="AA98" s="175"/>
      <c r="AK98" s="177">
        <f t="shared" si="29"/>
        <v>0.37163876204972096</v>
      </c>
      <c r="AL98" s="171">
        <f t="shared" si="24"/>
        <v>322300000.00000006</v>
      </c>
      <c r="AN98" s="97">
        <v>20</v>
      </c>
      <c r="AO98" s="172">
        <f>6446*1000000</f>
        <v>6446000000</v>
      </c>
      <c r="AP98" s="199">
        <f t="shared" si="25"/>
        <v>65111111.111111112</v>
      </c>
      <c r="AW98" s="102">
        <f t="shared" si="33"/>
        <v>3.3333333333333333E-2</v>
      </c>
      <c r="AY98" s="99">
        <f t="shared" si="32"/>
        <v>0.66666666666666663</v>
      </c>
    </row>
    <row r="99" spans="1:51">
      <c r="A99" s="95" t="str">
        <f>CONCATENATE("\cite{",B99,C99,"a}")</f>
        <v>\cite{Vestas2015a}</v>
      </c>
      <c r="B99" s="97" t="s">
        <v>399</v>
      </c>
      <c r="C99" s="97">
        <v>2015</v>
      </c>
      <c r="D99" s="97"/>
      <c r="E99" s="11">
        <f t="shared" si="20"/>
        <v>2015</v>
      </c>
      <c r="F99" s="96">
        <f>LOOKUP(E99,Total_wind_installed_capacity!$A$3:$A$28,Total_wind_installed_capacity!$H$3:$H$28)</f>
        <v>427.65899999999999</v>
      </c>
      <c r="G99" s="97" t="s">
        <v>27</v>
      </c>
      <c r="H99" s="180" t="s">
        <v>464</v>
      </c>
      <c r="I99" s="97" t="s">
        <v>521</v>
      </c>
      <c r="J99" s="172">
        <v>2000</v>
      </c>
      <c r="K99" s="95">
        <f t="shared" si="21"/>
        <v>25</v>
      </c>
      <c r="L99" s="173">
        <f>25*J99</f>
        <v>50000</v>
      </c>
      <c r="M99" s="95" t="s">
        <v>526</v>
      </c>
      <c r="P99" s="95" t="s">
        <v>348</v>
      </c>
      <c r="Q99" s="95">
        <v>100</v>
      </c>
      <c r="R99" s="95">
        <v>80</v>
      </c>
      <c r="S99" s="180" t="s">
        <v>356</v>
      </c>
      <c r="T99" s="172">
        <f>0.09*AO99</f>
        <v>378000000</v>
      </c>
      <c r="V99" s="174">
        <f t="shared" si="22"/>
        <v>105000000</v>
      </c>
      <c r="X99" s="175">
        <f t="shared" si="19"/>
        <v>7.56</v>
      </c>
      <c r="Y99" s="175"/>
      <c r="Z99" s="175">
        <f t="shared" si="23"/>
        <v>2.0999999999999996</v>
      </c>
      <c r="AA99" s="175"/>
      <c r="AK99" s="177">
        <f t="shared" si="29"/>
        <v>0.47945205479452052</v>
      </c>
      <c r="AL99" s="171">
        <f t="shared" si="24"/>
        <v>210000000</v>
      </c>
      <c r="AN99" s="97">
        <v>20</v>
      </c>
      <c r="AO99" s="172">
        <f>4200*1000000</f>
        <v>4200000000</v>
      </c>
      <c r="AP99" s="199">
        <f t="shared" si="25"/>
        <v>84000000</v>
      </c>
      <c r="AW99" s="102">
        <f t="shared" si="33"/>
        <v>2.5000000000000001E-2</v>
      </c>
      <c r="AY99" s="99">
        <f t="shared" si="32"/>
        <v>0.5</v>
      </c>
    </row>
    <row r="100" spans="1:51">
      <c r="A100" s="95" t="str">
        <f>CONCATENATE("\cite{",B100,C100,"b}")</f>
        <v>\cite{Vestas2015b}</v>
      </c>
      <c r="B100" s="97" t="s">
        <v>399</v>
      </c>
      <c r="C100" s="97">
        <v>2015</v>
      </c>
      <c r="D100" s="97"/>
      <c r="E100" s="11">
        <f t="shared" si="20"/>
        <v>2015</v>
      </c>
      <c r="F100" s="96">
        <f>LOOKUP(E100,Total_wind_installed_capacity!$A$3:$A$28,Total_wind_installed_capacity!$H$3:$H$28)</f>
        <v>427.65899999999999</v>
      </c>
      <c r="G100" s="97" t="s">
        <v>27</v>
      </c>
      <c r="H100" s="180" t="s">
        <v>464</v>
      </c>
      <c r="I100" s="97" t="s">
        <v>521</v>
      </c>
      <c r="J100" s="172">
        <v>3300</v>
      </c>
      <c r="K100" s="95">
        <f t="shared" si="21"/>
        <v>30</v>
      </c>
      <c r="L100" s="173">
        <f>30*J100</f>
        <v>99000</v>
      </c>
      <c r="M100" s="95" t="s">
        <v>527</v>
      </c>
      <c r="P100" s="95" t="s">
        <v>348</v>
      </c>
      <c r="Q100" s="95">
        <v>112</v>
      </c>
      <c r="R100" s="95">
        <v>84</v>
      </c>
      <c r="S100" s="180" t="s">
        <v>356</v>
      </c>
      <c r="T100" s="172">
        <f>0.08*AO100</f>
        <v>567840000</v>
      </c>
      <c r="V100" s="174">
        <f t="shared" si="22"/>
        <v>157733333.33333334</v>
      </c>
      <c r="X100" s="175">
        <f t="shared" si="19"/>
        <v>5.7357575757575763</v>
      </c>
      <c r="Y100" s="175"/>
      <c r="Z100" s="175">
        <f t="shared" si="23"/>
        <v>1.5932659932659934</v>
      </c>
      <c r="AA100" s="175"/>
      <c r="AK100" s="177">
        <f t="shared" si="29"/>
        <v>0.40922927909229279</v>
      </c>
      <c r="AL100" s="171">
        <f t="shared" si="24"/>
        <v>354900000</v>
      </c>
      <c r="AN100" s="97">
        <v>20</v>
      </c>
      <c r="AO100" s="172">
        <f>7098*1000000</f>
        <v>7098000000</v>
      </c>
      <c r="AP100" s="199">
        <f t="shared" si="25"/>
        <v>71696969.696969703</v>
      </c>
      <c r="AW100" s="102">
        <f t="shared" si="33"/>
        <v>2.2222222222222223E-2</v>
      </c>
      <c r="AY100" s="99">
        <f t="shared" si="32"/>
        <v>0.44444444444444448</v>
      </c>
    </row>
    <row r="101" spans="1:51">
      <c r="A101" s="95" t="str">
        <f t="shared" si="28"/>
        <v>\cite{Wagner2013}</v>
      </c>
      <c r="B101" s="97" t="s">
        <v>413</v>
      </c>
      <c r="C101" s="97">
        <v>2013</v>
      </c>
      <c r="D101" s="97"/>
      <c r="E101" s="11">
        <f t="shared" si="20"/>
        <v>2013</v>
      </c>
      <c r="F101" s="96">
        <f>LOOKUP(E101,Total_wind_installed_capacity!$A$3:$A$28,Total_wind_installed_capacity!$H$3:$H$28)</f>
        <v>310.36672750000002</v>
      </c>
      <c r="G101" s="97" t="s">
        <v>27</v>
      </c>
      <c r="H101" s="180" t="s">
        <v>86</v>
      </c>
      <c r="I101" s="97" t="s">
        <v>212</v>
      </c>
      <c r="J101" s="172">
        <v>5000</v>
      </c>
      <c r="K101" s="95">
        <f t="shared" si="21"/>
        <v>12</v>
      </c>
      <c r="L101" s="173">
        <f>12*J101</f>
        <v>60000</v>
      </c>
      <c r="M101" s="95" t="s">
        <v>528</v>
      </c>
      <c r="P101" s="95" t="s">
        <v>359</v>
      </c>
      <c r="S101" s="180" t="s">
        <v>340</v>
      </c>
      <c r="T101" s="172">
        <f>2300*1000000</f>
        <v>2300000000</v>
      </c>
      <c r="V101" s="174">
        <f t="shared" si="22"/>
        <v>638888888.88888884</v>
      </c>
      <c r="X101" s="175">
        <f t="shared" si="19"/>
        <v>38.333333333333336</v>
      </c>
      <c r="Y101" s="175"/>
      <c r="Z101" s="175">
        <f t="shared" si="23"/>
        <v>10.648148148148149</v>
      </c>
      <c r="AA101" s="175"/>
      <c r="AK101" s="177">
        <f t="shared" si="29"/>
        <v>0.46232876712328769</v>
      </c>
      <c r="AL101" s="171">
        <f t="shared" si="24"/>
        <v>243000000</v>
      </c>
      <c r="AN101" s="97">
        <v>20</v>
      </c>
      <c r="AO101" s="172">
        <f>4860*1000000</f>
        <v>4860000000</v>
      </c>
      <c r="AP101" s="199">
        <f t="shared" si="25"/>
        <v>81000000</v>
      </c>
      <c r="AW101" s="102">
        <f t="shared" si="33"/>
        <v>0.1314586191129401</v>
      </c>
      <c r="AY101" s="112">
        <f>8.8/12*3.007</f>
        <v>2.2051333333333334</v>
      </c>
    </row>
    <row r="102" spans="1:51">
      <c r="A102" s="95" t="str">
        <f t="shared" si="28"/>
        <v>\cite{Yang2013}</v>
      </c>
      <c r="B102" s="97" t="s">
        <v>403</v>
      </c>
      <c r="C102" s="97">
        <v>2013</v>
      </c>
      <c r="D102" s="97"/>
      <c r="E102" s="11">
        <f t="shared" si="20"/>
        <v>2013</v>
      </c>
      <c r="F102" s="96">
        <f>LOOKUP(E102,Total_wind_installed_capacity!$A$3:$A$28,Total_wind_installed_capacity!$H$3:$H$28)</f>
        <v>310.36672750000002</v>
      </c>
      <c r="G102" s="97" t="s">
        <v>27</v>
      </c>
      <c r="H102" s="180" t="s">
        <v>464</v>
      </c>
      <c r="I102" s="97" t="s">
        <v>19</v>
      </c>
      <c r="J102" s="172">
        <v>1500</v>
      </c>
      <c r="K102" s="95">
        <f t="shared" si="21"/>
        <v>33</v>
      </c>
      <c r="L102" s="173">
        <f>33*J102</f>
        <v>49500</v>
      </c>
      <c r="P102" s="95" t="s">
        <v>339</v>
      </c>
      <c r="S102" s="180" t="s">
        <v>356</v>
      </c>
      <c r="T102" s="172">
        <f>272000000</f>
        <v>272000000</v>
      </c>
      <c r="V102" s="174">
        <f t="shared" si="22"/>
        <v>75555555.555555552</v>
      </c>
      <c r="X102" s="175">
        <f t="shared" si="19"/>
        <v>5.4949494949494948</v>
      </c>
      <c r="Y102" s="175"/>
      <c r="Z102" s="175">
        <f t="shared" si="23"/>
        <v>1.526374859708193</v>
      </c>
      <c r="AA102" s="175"/>
      <c r="AK102" s="177">
        <f t="shared" si="29"/>
        <v>0.25759881924265488</v>
      </c>
      <c r="AL102" s="171">
        <f t="shared" si="24"/>
        <v>111700000.00000001</v>
      </c>
      <c r="AN102" s="97">
        <v>20</v>
      </c>
      <c r="AO102" s="172">
        <f>111.7*1000000*AN102</f>
        <v>2234000000</v>
      </c>
      <c r="AP102" s="199">
        <f t="shared" si="25"/>
        <v>45131313.13131313</v>
      </c>
      <c r="AW102" s="102">
        <f t="shared" si="33"/>
        <v>3.3820750024868194E-2</v>
      </c>
      <c r="AY102" s="99">
        <f>AN102*AW102</f>
        <v>0.67641500049736392</v>
      </c>
    </row>
    <row r="103" spans="1:51">
      <c r="A103" s="95" t="str">
        <f t="shared" si="28"/>
        <v>\cite{Zimmerman2011}</v>
      </c>
      <c r="B103" s="97" t="s">
        <v>445</v>
      </c>
      <c r="C103" s="97">
        <v>2011</v>
      </c>
      <c r="D103" s="97"/>
      <c r="E103" s="11">
        <f t="shared" si="20"/>
        <v>2011</v>
      </c>
      <c r="F103" s="96">
        <f>LOOKUP(E103,Total_wind_installed_capacity!$A$3:$A$28,Total_wind_installed_capacity!$H$3:$H$28)</f>
        <v>227.632904</v>
      </c>
      <c r="G103" s="97" t="s">
        <v>27</v>
      </c>
      <c r="H103" s="180" t="s">
        <v>464</v>
      </c>
      <c r="I103" s="97" t="s">
        <v>521</v>
      </c>
      <c r="J103" s="172">
        <v>2300</v>
      </c>
      <c r="K103" s="95">
        <f t="shared" si="21"/>
        <v>1</v>
      </c>
      <c r="L103" s="173">
        <f>1*J103</f>
        <v>2300</v>
      </c>
      <c r="M103" s="95" t="s">
        <v>529</v>
      </c>
      <c r="P103" s="95" t="s">
        <v>348</v>
      </c>
      <c r="R103" s="95">
        <v>97</v>
      </c>
      <c r="S103" s="180" t="s">
        <v>356</v>
      </c>
      <c r="T103" s="172">
        <f>2880*1000*3.6</f>
        <v>10368000</v>
      </c>
      <c r="V103" s="174">
        <f t="shared" si="22"/>
        <v>2880000</v>
      </c>
      <c r="X103" s="175">
        <f t="shared" si="19"/>
        <v>4.5078260869565216</v>
      </c>
      <c r="Y103" s="175"/>
      <c r="Z103" s="175">
        <f t="shared" si="23"/>
        <v>1.2521739130434781</v>
      </c>
      <c r="AA103" s="175"/>
      <c r="AK103" s="177">
        <f t="shared" si="29"/>
        <v>0.25310204486797699</v>
      </c>
      <c r="AL103" s="171">
        <f t="shared" si="24"/>
        <v>5099500.0000000009</v>
      </c>
      <c r="AN103" s="97">
        <v>20</v>
      </c>
      <c r="AO103" s="172">
        <f>101990*1000</f>
        <v>101990000</v>
      </c>
      <c r="AP103" s="199">
        <f t="shared" si="25"/>
        <v>44343478.26086957</v>
      </c>
      <c r="AW103" s="102">
        <f t="shared" si="33"/>
        <v>2.8238062555152467E-2</v>
      </c>
      <c r="AY103" s="99">
        <f>AN103*AW103</f>
        <v>0.56476125110304931</v>
      </c>
    </row>
    <row r="104" spans="1:51">
      <c r="A104" s="95" t="str">
        <f t="shared" si="28"/>
        <v>\cite{Zimmerman2011}</v>
      </c>
      <c r="B104" s="97" t="s">
        <v>445</v>
      </c>
      <c r="C104" s="97">
        <v>2011</v>
      </c>
      <c r="D104" s="97"/>
      <c r="E104" s="11">
        <f t="shared" si="20"/>
        <v>2011</v>
      </c>
      <c r="F104" s="96">
        <f>LOOKUP(E104,Total_wind_installed_capacity!$A$3:$A$28,Total_wind_installed_capacity!$H$3:$H$28)</f>
        <v>227.632904</v>
      </c>
      <c r="G104" s="97" t="s">
        <v>27</v>
      </c>
      <c r="H104" s="180" t="s">
        <v>464</v>
      </c>
      <c r="I104" s="97" t="s">
        <v>521</v>
      </c>
      <c r="J104" s="172">
        <v>2300</v>
      </c>
      <c r="K104" s="95">
        <f t="shared" si="21"/>
        <v>1</v>
      </c>
      <c r="L104" s="173">
        <f>1*J104</f>
        <v>2300</v>
      </c>
      <c r="M104" s="95" t="s">
        <v>529</v>
      </c>
      <c r="P104" s="95" t="s">
        <v>348</v>
      </c>
      <c r="S104" s="180" t="s">
        <v>356</v>
      </c>
      <c r="T104" s="172">
        <f>2880*1000*3.6</f>
        <v>10368000</v>
      </c>
      <c r="V104" s="174">
        <f t="shared" si="22"/>
        <v>2880000</v>
      </c>
      <c r="X104" s="175">
        <f t="shared" si="19"/>
        <v>4.5078260869565216</v>
      </c>
      <c r="Y104" s="175"/>
      <c r="Z104" s="175">
        <f t="shared" si="23"/>
        <v>1.2521739130434781</v>
      </c>
      <c r="AA104" s="175"/>
      <c r="AK104" s="177">
        <f t="shared" si="29"/>
        <v>0.29159221758983522</v>
      </c>
      <c r="AL104" s="171">
        <f t="shared" si="24"/>
        <v>5875000</v>
      </c>
      <c r="AN104" s="97">
        <v>20</v>
      </c>
      <c r="AO104" s="172">
        <f>117500*1000</f>
        <v>117500000</v>
      </c>
      <c r="AP104" s="199">
        <f t="shared" si="25"/>
        <v>51086956.521739125</v>
      </c>
      <c r="AW104" s="102">
        <f t="shared" si="33"/>
        <v>2.4510638297872339E-2</v>
      </c>
      <c r="AY104" s="99">
        <f>AN104*AW104</f>
        <v>0.49021276595744678</v>
      </c>
    </row>
    <row r="105" spans="1:51">
      <c r="A105" s="95" t="str">
        <f t="shared" si="28"/>
        <v>\cite{Zimmerman2011}</v>
      </c>
      <c r="B105" s="97" t="s">
        <v>445</v>
      </c>
      <c r="C105" s="97">
        <v>2011</v>
      </c>
      <c r="D105" s="97"/>
      <c r="E105" s="11">
        <f t="shared" si="20"/>
        <v>2011</v>
      </c>
      <c r="F105" s="96">
        <f>LOOKUP(E105,Total_wind_installed_capacity!$A$3:$A$28,Total_wind_installed_capacity!$H$3:$H$28)</f>
        <v>227.632904</v>
      </c>
      <c r="G105" s="97" t="s">
        <v>27</v>
      </c>
      <c r="H105" s="180" t="s">
        <v>464</v>
      </c>
      <c r="I105" s="97" t="s">
        <v>521</v>
      </c>
      <c r="J105" s="172">
        <v>2300</v>
      </c>
      <c r="K105" s="95">
        <f t="shared" si="21"/>
        <v>1</v>
      </c>
      <c r="L105" s="173">
        <f>1*J105</f>
        <v>2300</v>
      </c>
      <c r="M105" s="95" t="s">
        <v>529</v>
      </c>
      <c r="P105" s="95" t="s">
        <v>348</v>
      </c>
      <c r="S105" s="180" t="s">
        <v>356</v>
      </c>
      <c r="T105" s="172">
        <f>2880*1000*3.6</f>
        <v>10368000</v>
      </c>
      <c r="V105" s="174">
        <f t="shared" si="22"/>
        <v>2880000</v>
      </c>
      <c r="X105" s="175">
        <f t="shared" si="19"/>
        <v>4.5078260869565216</v>
      </c>
      <c r="Y105" s="175"/>
      <c r="Z105" s="175">
        <f t="shared" si="23"/>
        <v>1.2521739130434781</v>
      </c>
      <c r="AA105" s="175"/>
      <c r="AK105" s="177">
        <f t="shared" si="29"/>
        <v>0.36480047647409169</v>
      </c>
      <c r="AL105" s="171">
        <f t="shared" si="24"/>
        <v>7350000</v>
      </c>
      <c r="AN105" s="97">
        <v>20</v>
      </c>
      <c r="AO105" s="172">
        <f>147000*1000</f>
        <v>147000000</v>
      </c>
      <c r="AP105" s="199">
        <f t="shared" si="25"/>
        <v>63913043.478260875</v>
      </c>
      <c r="AW105" s="102">
        <f t="shared" si="33"/>
        <v>1.9591836734693877E-2</v>
      </c>
      <c r="AY105" s="99">
        <f>AN105*AW105</f>
        <v>0.39183673469387753</v>
      </c>
    </row>
    <row r="106" spans="1:51">
      <c r="B106" s="97"/>
      <c r="C106" s="97"/>
      <c r="D106" s="97"/>
      <c r="E106" s="97"/>
      <c r="G106" s="97"/>
      <c r="H106" s="180"/>
      <c r="I106" s="97"/>
      <c r="J106" s="97"/>
      <c r="K106" s="97"/>
      <c r="S106" s="180"/>
      <c r="AN106" s="97"/>
    </row>
    <row r="107" spans="1:51" ht="211">
      <c r="H107" s="100" t="s">
        <v>328</v>
      </c>
    </row>
  </sheetData>
  <pageMargins left="0.75" right="0.75" top="1" bottom="1" header="0.5" footer="0.5"/>
  <pageSetup orientation="portrait" horizontalDpi="4294967292" verticalDpi="429496729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D61A7-6C4C-C541-9FF9-41081C3A3462}">
  <dimension ref="A1:BB150"/>
  <sheetViews>
    <sheetView topLeftCell="R1" workbookViewId="0">
      <selection activeCell="AO2" sqref="AO2"/>
    </sheetView>
  </sheetViews>
  <sheetFormatPr baseColWidth="10" defaultRowHeight="16"/>
  <cols>
    <col min="1" max="1" width="19.1640625" bestFit="1" customWidth="1"/>
    <col min="6" max="6" width="10.83203125" style="108"/>
    <col min="8" max="8" width="10.83203125" style="108"/>
    <col min="12" max="12" width="10.83203125" style="108"/>
    <col min="18" max="18" width="10.83203125" style="108"/>
    <col min="19" max="19" width="14" bestFit="1" customWidth="1"/>
    <col min="21" max="21" width="14" bestFit="1" customWidth="1"/>
    <col min="31" max="31" width="10.83203125" style="108"/>
    <col min="32" max="32" width="11.5" bestFit="1" customWidth="1"/>
    <col min="35" max="35" width="10.83203125" style="108"/>
    <col min="37" max="37" width="12" bestFit="1" customWidth="1"/>
    <col min="40" max="40" width="12.5" bestFit="1" customWidth="1"/>
    <col min="41" max="41" width="12.5" style="108" bestFit="1" customWidth="1"/>
    <col min="50" max="50" width="10.83203125" style="108"/>
    <col min="53" max="53" width="10.83203125" style="108"/>
  </cols>
  <sheetData>
    <row r="1" spans="1:54" s="1" customFormat="1" ht="90">
      <c r="A1" s="1" t="s">
        <v>331</v>
      </c>
      <c r="B1" s="2" t="s">
        <v>0</v>
      </c>
      <c r="C1" s="2" t="s">
        <v>332</v>
      </c>
      <c r="D1" s="2" t="s">
        <v>1</v>
      </c>
      <c r="E1" s="2" t="s">
        <v>2</v>
      </c>
      <c r="F1" s="2" t="s">
        <v>573</v>
      </c>
      <c r="G1" s="3" t="s">
        <v>14</v>
      </c>
      <c r="H1" s="2" t="s">
        <v>333</v>
      </c>
      <c r="I1" s="3" t="s">
        <v>3</v>
      </c>
      <c r="J1" s="2" t="s">
        <v>457</v>
      </c>
      <c r="K1" s="2" t="s">
        <v>4</v>
      </c>
      <c r="L1" s="2" t="s">
        <v>334</v>
      </c>
      <c r="M1" s="5" t="s">
        <v>15</v>
      </c>
      <c r="N1" s="2" t="s">
        <v>16</v>
      </c>
      <c r="O1" s="2" t="s">
        <v>574</v>
      </c>
      <c r="P1" s="2" t="s">
        <v>575</v>
      </c>
      <c r="Q1" s="7" t="s">
        <v>596</v>
      </c>
      <c r="R1" s="2" t="s">
        <v>576</v>
      </c>
      <c r="S1" s="3" t="s">
        <v>335</v>
      </c>
      <c r="T1" s="8" t="s">
        <v>578</v>
      </c>
      <c r="U1" s="8" t="s">
        <v>577</v>
      </c>
      <c r="V1" s="8" t="s">
        <v>579</v>
      </c>
      <c r="W1" s="2" t="s">
        <v>5</v>
      </c>
      <c r="X1" s="8" t="s">
        <v>6</v>
      </c>
      <c r="Y1" s="2" t="s">
        <v>459</v>
      </c>
      <c r="Z1" s="8" t="s">
        <v>336</v>
      </c>
      <c r="AA1" s="8" t="s">
        <v>580</v>
      </c>
      <c r="AB1" s="8" t="s">
        <v>581</v>
      </c>
      <c r="AC1" s="8" t="s">
        <v>582</v>
      </c>
      <c r="AD1" s="8" t="s">
        <v>583</v>
      </c>
      <c r="AE1" s="8" t="s">
        <v>584</v>
      </c>
      <c r="AF1" s="16" t="s">
        <v>7</v>
      </c>
      <c r="AG1" s="8" t="s">
        <v>8</v>
      </c>
      <c r="AH1" s="8" t="s">
        <v>9</v>
      </c>
      <c r="AI1" s="8" t="s">
        <v>10</v>
      </c>
      <c r="AJ1" s="3" t="s">
        <v>337</v>
      </c>
      <c r="AK1" s="8" t="s">
        <v>585</v>
      </c>
      <c r="AL1" s="8" t="s">
        <v>586</v>
      </c>
      <c r="AM1" s="2" t="s">
        <v>587</v>
      </c>
      <c r="AN1" s="8" t="s">
        <v>588</v>
      </c>
      <c r="AO1" s="8" t="s">
        <v>589</v>
      </c>
      <c r="AP1" s="9" t="s">
        <v>11</v>
      </c>
      <c r="AQ1" s="10" t="s">
        <v>12</v>
      </c>
      <c r="AR1" s="2" t="s">
        <v>329</v>
      </c>
      <c r="AS1" s="2" t="s">
        <v>330</v>
      </c>
      <c r="AT1" s="10" t="s">
        <v>13</v>
      </c>
      <c r="AU1" s="10" t="s">
        <v>590</v>
      </c>
      <c r="AV1" s="4" t="s">
        <v>591</v>
      </c>
      <c r="AW1" s="8" t="s">
        <v>592</v>
      </c>
      <c r="AX1" s="2" t="s">
        <v>383</v>
      </c>
      <c r="AY1" s="3" t="s">
        <v>594</v>
      </c>
      <c r="AZ1" s="8" t="s">
        <v>593</v>
      </c>
      <c r="BA1" s="8" t="s">
        <v>595</v>
      </c>
      <c r="BB1" s="5" t="s">
        <v>17</v>
      </c>
    </row>
    <row r="2" spans="1:54">
      <c r="A2" s="13" t="str">
        <f t="shared" ref="A2:A33" si="0">CONCATENATE("\cite{",B2,C2,"}")</f>
        <v>\cite{Chipindula2018}</v>
      </c>
      <c r="B2" t="s">
        <v>550</v>
      </c>
      <c r="C2">
        <v>2018</v>
      </c>
      <c r="E2" s="13">
        <f>IF(D2&gt;0,D2,C2)</f>
        <v>2018</v>
      </c>
      <c r="F2" s="155">
        <f>LOOKUP(E2,Total_wind_installed_capacity!$A$3:$A$34,Total_wind_installed_capacity!$H$3:$H$34)</f>
        <v>580.40440000000001</v>
      </c>
      <c r="J2" s="170">
        <v>1000</v>
      </c>
      <c r="K2">
        <v>1</v>
      </c>
      <c r="L2" s="188">
        <f>K2*J2</f>
        <v>1000</v>
      </c>
      <c r="M2" t="s">
        <v>545</v>
      </c>
      <c r="N2" t="s">
        <v>546</v>
      </c>
      <c r="S2" s="171">
        <f>AT2*AN2</f>
        <v>0</v>
      </c>
      <c r="U2" s="194">
        <f>S2/3.6</f>
        <v>0</v>
      </c>
      <c r="W2" s="195">
        <f>S2/L2/1000</f>
        <v>0</v>
      </c>
      <c r="AF2" s="171">
        <f>AY2*AN2/1000</f>
        <v>450702</v>
      </c>
      <c r="AH2" s="195">
        <f>AF2/L2/1000</f>
        <v>0.45070199999999999</v>
      </c>
      <c r="AJ2" s="164">
        <v>0.35</v>
      </c>
      <c r="AK2" s="171">
        <f>L2*AJ2*8760</f>
        <v>3066000</v>
      </c>
      <c r="AM2">
        <v>20</v>
      </c>
      <c r="AN2" s="171">
        <f>AK2*AM2</f>
        <v>61320000</v>
      </c>
      <c r="AO2" s="199">
        <f>AN2/L2*1000</f>
        <v>61320000</v>
      </c>
      <c r="AR2" s="195"/>
      <c r="AT2" s="195">
        <v>0</v>
      </c>
      <c r="AV2" s="195">
        <f>AT2/3.6</f>
        <v>0</v>
      </c>
      <c r="AY2" s="195">
        <v>7.35</v>
      </c>
    </row>
    <row r="3" spans="1:54">
      <c r="A3" s="13" t="str">
        <f t="shared" si="0"/>
        <v>\cite{Chipindula2018}</v>
      </c>
      <c r="B3" t="s">
        <v>550</v>
      </c>
      <c r="C3">
        <v>2018</v>
      </c>
      <c r="E3" s="13">
        <f t="shared" ref="E3:E65" si="1">IF(D3&gt;0,D3,C3)</f>
        <v>2018</v>
      </c>
      <c r="F3" s="155">
        <f>LOOKUP(E3,Total_wind_installed_capacity!$A$3:$A$34,Total_wind_installed_capacity!$H$3:$H$34)</f>
        <v>580.40440000000001</v>
      </c>
      <c r="J3" s="170">
        <v>2000</v>
      </c>
      <c r="K3">
        <v>1</v>
      </c>
      <c r="L3" s="188">
        <f t="shared" ref="L3:L65" si="2">K3*J3</f>
        <v>2000</v>
      </c>
      <c r="M3" t="s">
        <v>545</v>
      </c>
      <c r="N3" t="s">
        <v>546</v>
      </c>
      <c r="S3" s="171">
        <f t="shared" ref="S3:S66" si="3">AT3*AN3</f>
        <v>0</v>
      </c>
      <c r="U3" s="194">
        <f t="shared" ref="U3:U66" si="4">S3/3.6</f>
        <v>0</v>
      </c>
      <c r="W3" s="195">
        <f t="shared" ref="W3:W66" si="5">S3/L3/1000</f>
        <v>0</v>
      </c>
      <c r="AF3" s="171">
        <f t="shared" ref="AF3:AF66" si="6">AY3*AN3/1000</f>
        <v>869517.6</v>
      </c>
      <c r="AH3" s="195">
        <f t="shared" ref="AH3:AH66" si="7">AF3/L3/1000</f>
        <v>0.4347588</v>
      </c>
      <c r="AJ3" s="164">
        <v>0.35</v>
      </c>
      <c r="AK3" s="171">
        <f t="shared" ref="AK3:AK65" si="8">L3*AJ3*8760</f>
        <v>6132000</v>
      </c>
      <c r="AM3">
        <v>20</v>
      </c>
      <c r="AN3" s="171">
        <f t="shared" ref="AN3:AN65" si="9">AK3*AM3</f>
        <v>122640000</v>
      </c>
      <c r="AO3" s="199">
        <f t="shared" ref="AO3:AO66" si="10">AN3/L3*1000</f>
        <v>61320000</v>
      </c>
      <c r="AR3" s="195"/>
      <c r="AT3" s="195">
        <v>0</v>
      </c>
      <c r="AV3" s="195">
        <f t="shared" ref="AV3:AV66" si="11">AT3/3.6</f>
        <v>0</v>
      </c>
      <c r="AY3" s="195">
        <v>7.09</v>
      </c>
    </row>
    <row r="4" spans="1:54">
      <c r="A4" s="13" t="str">
        <f t="shared" si="0"/>
        <v>\cite{Chipindula2018}</v>
      </c>
      <c r="B4" t="s">
        <v>550</v>
      </c>
      <c r="C4">
        <v>2018</v>
      </c>
      <c r="E4" s="13">
        <f t="shared" si="1"/>
        <v>2018</v>
      </c>
      <c r="F4" s="155">
        <f>LOOKUP(E4,Total_wind_installed_capacity!$A$3:$A$34,Total_wind_installed_capacity!$H$3:$H$34)</f>
        <v>580.40440000000001</v>
      </c>
      <c r="J4" s="170">
        <v>2300</v>
      </c>
      <c r="K4">
        <v>1</v>
      </c>
      <c r="L4" s="188">
        <f t="shared" si="2"/>
        <v>2300</v>
      </c>
      <c r="M4" t="s">
        <v>545</v>
      </c>
      <c r="N4" t="s">
        <v>546</v>
      </c>
      <c r="S4" s="171">
        <f t="shared" si="3"/>
        <v>0</v>
      </c>
      <c r="U4" s="194">
        <f t="shared" si="4"/>
        <v>0</v>
      </c>
      <c r="W4" s="195">
        <f t="shared" si="5"/>
        <v>0</v>
      </c>
      <c r="AF4" s="171">
        <f t="shared" si="6"/>
        <v>823650.24</v>
      </c>
      <c r="AH4" s="195">
        <f t="shared" si="7"/>
        <v>0.35810879999999995</v>
      </c>
      <c r="AJ4" s="164">
        <v>0.35</v>
      </c>
      <c r="AK4" s="171">
        <f t="shared" si="8"/>
        <v>7051800</v>
      </c>
      <c r="AM4">
        <v>20</v>
      </c>
      <c r="AN4" s="171">
        <f t="shared" si="9"/>
        <v>141036000</v>
      </c>
      <c r="AO4" s="199">
        <f t="shared" si="10"/>
        <v>61320000</v>
      </c>
      <c r="AR4" s="195"/>
      <c r="AT4" s="195">
        <v>0</v>
      </c>
      <c r="AV4" s="195">
        <f t="shared" si="11"/>
        <v>0</v>
      </c>
      <c r="AY4" s="195">
        <v>5.84</v>
      </c>
    </row>
    <row r="5" spans="1:54">
      <c r="A5" s="13" t="str">
        <f t="shared" si="0"/>
        <v>\cite{Chipindula2018}</v>
      </c>
      <c r="B5" t="s">
        <v>550</v>
      </c>
      <c r="C5">
        <v>2018</v>
      </c>
      <c r="E5" s="13">
        <f t="shared" si="1"/>
        <v>2018</v>
      </c>
      <c r="F5" s="155">
        <f>LOOKUP(E5,Total_wind_installed_capacity!$A$3:$A$34,Total_wind_installed_capacity!$H$3:$H$34)</f>
        <v>580.40440000000001</v>
      </c>
      <c r="J5" s="170">
        <v>2000</v>
      </c>
      <c r="K5">
        <v>1</v>
      </c>
      <c r="L5" s="188">
        <f t="shared" si="2"/>
        <v>2000</v>
      </c>
      <c r="M5" t="s">
        <v>545</v>
      </c>
      <c r="N5" t="s">
        <v>547</v>
      </c>
      <c r="Q5" t="s">
        <v>551</v>
      </c>
      <c r="S5" s="171">
        <f t="shared" si="3"/>
        <v>0</v>
      </c>
      <c r="U5" s="194">
        <f t="shared" si="4"/>
        <v>0</v>
      </c>
      <c r="W5" s="195">
        <f t="shared" si="5"/>
        <v>0</v>
      </c>
      <c r="AF5" s="171">
        <f t="shared" si="6"/>
        <v>1496383.2</v>
      </c>
      <c r="AH5" s="195">
        <f t="shared" si="7"/>
        <v>0.74819159999999996</v>
      </c>
      <c r="AJ5" s="164">
        <v>0.45</v>
      </c>
      <c r="AK5" s="171">
        <f t="shared" si="8"/>
        <v>7884000</v>
      </c>
      <c r="AM5">
        <v>20</v>
      </c>
      <c r="AN5" s="171">
        <f t="shared" si="9"/>
        <v>157680000</v>
      </c>
      <c r="AO5" s="199">
        <f t="shared" si="10"/>
        <v>78840000</v>
      </c>
      <c r="AR5" s="195"/>
      <c r="AT5" s="195">
        <v>0</v>
      </c>
      <c r="AV5" s="195">
        <f t="shared" si="11"/>
        <v>0</v>
      </c>
      <c r="AY5" s="195">
        <v>9.49</v>
      </c>
    </row>
    <row r="6" spans="1:54">
      <c r="A6" s="13" t="str">
        <f t="shared" si="0"/>
        <v>\cite{Chipindula2018}</v>
      </c>
      <c r="B6" t="s">
        <v>550</v>
      </c>
      <c r="C6">
        <v>2018</v>
      </c>
      <c r="E6" s="13">
        <f t="shared" si="1"/>
        <v>2018</v>
      </c>
      <c r="F6" s="155">
        <f>LOOKUP(E6,Total_wind_installed_capacity!$A$3:$A$34,Total_wind_installed_capacity!$H$3:$H$34)</f>
        <v>580.40440000000001</v>
      </c>
      <c r="J6" s="170">
        <v>2300</v>
      </c>
      <c r="K6">
        <v>1</v>
      </c>
      <c r="L6" s="188">
        <f t="shared" si="2"/>
        <v>2300</v>
      </c>
      <c r="M6" t="s">
        <v>545</v>
      </c>
      <c r="N6" t="s">
        <v>547</v>
      </c>
      <c r="Q6" t="s">
        <v>551</v>
      </c>
      <c r="S6" s="171">
        <f t="shared" si="3"/>
        <v>0</v>
      </c>
      <c r="U6" s="194">
        <f t="shared" si="4"/>
        <v>0</v>
      </c>
      <c r="W6" s="195">
        <f t="shared" si="5"/>
        <v>0</v>
      </c>
      <c r="AF6" s="171">
        <f t="shared" si="6"/>
        <v>1176844.68</v>
      </c>
      <c r="AH6" s="195">
        <f t="shared" si="7"/>
        <v>0.5116716</v>
      </c>
      <c r="AJ6" s="164">
        <v>0.45</v>
      </c>
      <c r="AK6" s="171">
        <f t="shared" si="8"/>
        <v>9066600</v>
      </c>
      <c r="AM6">
        <v>20</v>
      </c>
      <c r="AN6" s="171">
        <f t="shared" si="9"/>
        <v>181332000</v>
      </c>
      <c r="AO6" s="199">
        <f t="shared" si="10"/>
        <v>78840000</v>
      </c>
      <c r="AR6" s="195"/>
      <c r="AT6" s="195">
        <v>0</v>
      </c>
      <c r="AV6" s="195">
        <f t="shared" si="11"/>
        <v>0</v>
      </c>
      <c r="AY6" s="195">
        <v>6.49</v>
      </c>
    </row>
    <row r="7" spans="1:54">
      <c r="A7" s="13" t="str">
        <f t="shared" si="0"/>
        <v>\cite{Chipindula2018}</v>
      </c>
      <c r="B7" t="s">
        <v>550</v>
      </c>
      <c r="C7">
        <v>2018</v>
      </c>
      <c r="E7" s="13">
        <f t="shared" si="1"/>
        <v>2018</v>
      </c>
      <c r="F7" s="155">
        <f>LOOKUP(E7,Total_wind_installed_capacity!$A$3:$A$34,Total_wind_installed_capacity!$H$3:$H$34)</f>
        <v>580.40440000000001</v>
      </c>
      <c r="J7" s="170">
        <v>2300</v>
      </c>
      <c r="K7">
        <v>1</v>
      </c>
      <c r="L7" s="188">
        <f t="shared" si="2"/>
        <v>2300</v>
      </c>
      <c r="M7" t="s">
        <v>545</v>
      </c>
      <c r="N7" t="s">
        <v>547</v>
      </c>
      <c r="Q7" t="s">
        <v>552</v>
      </c>
      <c r="S7" s="171">
        <f t="shared" si="3"/>
        <v>0</v>
      </c>
      <c r="U7" s="194">
        <f t="shared" si="4"/>
        <v>0</v>
      </c>
      <c r="W7" s="195">
        <f t="shared" si="5"/>
        <v>0</v>
      </c>
      <c r="AF7" s="171">
        <f t="shared" si="6"/>
        <v>1494296.568</v>
      </c>
      <c r="AH7" s="195">
        <f t="shared" si="7"/>
        <v>0.64969416000000002</v>
      </c>
      <c r="AJ7" s="164">
        <v>0.47</v>
      </c>
      <c r="AK7" s="171">
        <f t="shared" si="8"/>
        <v>9469560</v>
      </c>
      <c r="AM7">
        <v>20</v>
      </c>
      <c r="AN7" s="171">
        <f t="shared" si="9"/>
        <v>189391200</v>
      </c>
      <c r="AO7" s="199">
        <f t="shared" si="10"/>
        <v>82344000</v>
      </c>
      <c r="AR7" s="195"/>
      <c r="AT7" s="195">
        <v>0</v>
      </c>
      <c r="AV7" s="195">
        <f t="shared" si="11"/>
        <v>0</v>
      </c>
      <c r="AY7" s="195">
        <v>7.89</v>
      </c>
    </row>
    <row r="8" spans="1:54">
      <c r="A8" s="13" t="str">
        <f t="shared" si="0"/>
        <v>\cite{Chipindula2018}</v>
      </c>
      <c r="B8" t="s">
        <v>550</v>
      </c>
      <c r="C8">
        <v>2018</v>
      </c>
      <c r="E8" s="13">
        <f t="shared" si="1"/>
        <v>2018</v>
      </c>
      <c r="F8" s="155">
        <f>LOOKUP(E8,Total_wind_installed_capacity!$A$3:$A$34,Total_wind_installed_capacity!$H$3:$H$34)</f>
        <v>580.40440000000001</v>
      </c>
      <c r="J8" s="170">
        <v>5000</v>
      </c>
      <c r="K8">
        <v>1</v>
      </c>
      <c r="L8" s="188">
        <f t="shared" si="2"/>
        <v>5000</v>
      </c>
      <c r="M8" t="s">
        <v>545</v>
      </c>
      <c r="N8" t="s">
        <v>547</v>
      </c>
      <c r="Q8" t="s">
        <v>552</v>
      </c>
      <c r="S8" s="171">
        <f t="shared" si="3"/>
        <v>0</v>
      </c>
      <c r="U8" s="194">
        <f t="shared" si="4"/>
        <v>0</v>
      </c>
      <c r="W8" s="195">
        <f t="shared" si="5"/>
        <v>0</v>
      </c>
      <c r="AF8" s="171">
        <f t="shared" si="6"/>
        <v>2997321.6</v>
      </c>
      <c r="AH8" s="195">
        <f t="shared" si="7"/>
        <v>0.59946432000000005</v>
      </c>
      <c r="AJ8" s="164">
        <v>0.47</v>
      </c>
      <c r="AK8" s="171">
        <f t="shared" si="8"/>
        <v>20586000</v>
      </c>
      <c r="AM8">
        <v>20</v>
      </c>
      <c r="AN8" s="171">
        <f t="shared" si="9"/>
        <v>411720000</v>
      </c>
      <c r="AO8" s="199">
        <f t="shared" si="10"/>
        <v>82344000</v>
      </c>
      <c r="AR8" s="195"/>
      <c r="AT8" s="195">
        <v>0</v>
      </c>
      <c r="AV8" s="195">
        <f t="shared" si="11"/>
        <v>0</v>
      </c>
      <c r="AY8" s="195">
        <v>7.28</v>
      </c>
    </row>
    <row r="9" spans="1:54">
      <c r="A9" s="13" t="str">
        <f t="shared" si="0"/>
        <v>\cite{Martínez2018}</v>
      </c>
      <c r="B9" t="s">
        <v>429</v>
      </c>
      <c r="C9">
        <v>2018</v>
      </c>
      <c r="E9" s="13">
        <f t="shared" si="1"/>
        <v>2018</v>
      </c>
      <c r="F9" s="155">
        <f>LOOKUP(E9,Total_wind_installed_capacity!$A$3:$A$34,Total_wind_installed_capacity!$H$3:$H$34)</f>
        <v>580.40440000000001</v>
      </c>
      <c r="J9" s="170">
        <v>2000</v>
      </c>
      <c r="K9">
        <v>1</v>
      </c>
      <c r="L9" s="188">
        <f t="shared" si="2"/>
        <v>2000</v>
      </c>
      <c r="M9" t="s">
        <v>545</v>
      </c>
      <c r="N9" t="s">
        <v>546</v>
      </c>
      <c r="S9" s="171">
        <f t="shared" si="3"/>
        <v>0</v>
      </c>
      <c r="U9" s="194">
        <f t="shared" si="4"/>
        <v>0</v>
      </c>
      <c r="W9" s="195">
        <f t="shared" si="5"/>
        <v>0</v>
      </c>
      <c r="AF9" s="171">
        <f t="shared" si="6"/>
        <v>806971.2</v>
      </c>
      <c r="AH9" s="195">
        <f t="shared" si="7"/>
        <v>0.4034856</v>
      </c>
      <c r="AJ9" s="164">
        <v>0.35</v>
      </c>
      <c r="AK9" s="171">
        <f t="shared" si="8"/>
        <v>6132000</v>
      </c>
      <c r="AM9">
        <v>20</v>
      </c>
      <c r="AN9" s="171">
        <f t="shared" si="9"/>
        <v>122640000</v>
      </c>
      <c r="AO9" s="199">
        <f t="shared" si="10"/>
        <v>61320000</v>
      </c>
      <c r="AR9" s="195"/>
      <c r="AT9" s="195">
        <v>0</v>
      </c>
      <c r="AV9" s="195">
        <f t="shared" si="11"/>
        <v>0</v>
      </c>
      <c r="AY9" s="195">
        <v>6.58</v>
      </c>
    </row>
    <row r="10" spans="1:54">
      <c r="A10" s="13" t="str">
        <f t="shared" si="0"/>
        <v>\cite{Mendecka2018}</v>
      </c>
      <c r="B10" t="s">
        <v>85</v>
      </c>
      <c r="C10">
        <v>2018</v>
      </c>
      <c r="E10" s="13">
        <f t="shared" si="1"/>
        <v>2018</v>
      </c>
      <c r="F10" s="155">
        <f>LOOKUP(E10,Total_wind_installed_capacity!$A$3:$A$34,Total_wind_installed_capacity!$H$3:$H$34)</f>
        <v>580.40440000000001</v>
      </c>
      <c r="J10" s="170">
        <v>1</v>
      </c>
      <c r="K10">
        <v>1</v>
      </c>
      <c r="L10" s="188">
        <f t="shared" si="2"/>
        <v>1</v>
      </c>
      <c r="M10" t="s">
        <v>548</v>
      </c>
      <c r="N10" t="s">
        <v>546</v>
      </c>
      <c r="S10" s="171">
        <f t="shared" si="3"/>
        <v>32587.200000000001</v>
      </c>
      <c r="U10" s="194">
        <f t="shared" si="4"/>
        <v>9052</v>
      </c>
      <c r="W10" s="195">
        <f t="shared" si="5"/>
        <v>32.587200000000003</v>
      </c>
      <c r="AF10" s="171">
        <f t="shared" si="6"/>
        <v>2796.192</v>
      </c>
      <c r="AH10" s="195">
        <f t="shared" si="7"/>
        <v>2.796192</v>
      </c>
      <c r="AJ10" s="164">
        <v>0.12</v>
      </c>
      <c r="AK10" s="171">
        <f t="shared" si="8"/>
        <v>1051.2</v>
      </c>
      <c r="AM10">
        <v>20</v>
      </c>
      <c r="AN10" s="171">
        <f t="shared" si="9"/>
        <v>21024</v>
      </c>
      <c r="AO10" s="199">
        <f t="shared" si="10"/>
        <v>21024000</v>
      </c>
      <c r="AR10" s="195">
        <f>1/AV10</f>
        <v>2.32258064516129</v>
      </c>
      <c r="AT10" s="195">
        <v>1.55</v>
      </c>
      <c r="AV10" s="195">
        <f t="shared" si="11"/>
        <v>0.43055555555555558</v>
      </c>
      <c r="AY10" s="195">
        <v>133</v>
      </c>
    </row>
    <row r="11" spans="1:54">
      <c r="A11" s="13" t="str">
        <f t="shared" si="0"/>
        <v>\cite{Mendecka2018}</v>
      </c>
      <c r="B11" t="s">
        <v>85</v>
      </c>
      <c r="C11">
        <v>2018</v>
      </c>
      <c r="E11" s="13">
        <f t="shared" si="1"/>
        <v>2018</v>
      </c>
      <c r="F11" s="155">
        <f>LOOKUP(E11,Total_wind_installed_capacity!$A$3:$A$34,Total_wind_installed_capacity!$H$3:$H$34)</f>
        <v>580.40440000000001</v>
      </c>
      <c r="J11" s="170">
        <v>3</v>
      </c>
      <c r="K11">
        <v>1</v>
      </c>
      <c r="L11" s="188">
        <f t="shared" si="2"/>
        <v>3</v>
      </c>
      <c r="M11" t="s">
        <v>548</v>
      </c>
      <c r="N11" t="s">
        <v>546</v>
      </c>
      <c r="S11" s="171">
        <f t="shared" si="3"/>
        <v>103858.56</v>
      </c>
      <c r="U11" s="194">
        <f t="shared" si="4"/>
        <v>28849.599999999999</v>
      </c>
      <c r="W11" s="195">
        <f t="shared" si="5"/>
        <v>34.619519999999994</v>
      </c>
      <c r="AF11" s="171">
        <f t="shared" si="6"/>
        <v>6450.1632</v>
      </c>
      <c r="AH11" s="195">
        <f t="shared" si="7"/>
        <v>2.1500544000000001</v>
      </c>
      <c r="AJ11" s="164">
        <v>0.13</v>
      </c>
      <c r="AK11" s="171">
        <f t="shared" si="8"/>
        <v>3416.4</v>
      </c>
      <c r="AM11">
        <v>20</v>
      </c>
      <c r="AN11" s="171">
        <f t="shared" si="9"/>
        <v>68328</v>
      </c>
      <c r="AO11" s="199">
        <f t="shared" si="10"/>
        <v>22776000</v>
      </c>
      <c r="AR11" s="195">
        <f t="shared" ref="AR11:AR49" si="12">1/AV11</f>
        <v>2.3684210526315788</v>
      </c>
      <c r="AT11" s="195">
        <v>1.52</v>
      </c>
      <c r="AV11" s="195">
        <f t="shared" si="11"/>
        <v>0.42222222222222222</v>
      </c>
      <c r="AY11" s="195">
        <v>94.4</v>
      </c>
    </row>
    <row r="12" spans="1:54">
      <c r="A12" s="13" t="str">
        <f t="shared" si="0"/>
        <v>\cite{Mendecka2018}</v>
      </c>
      <c r="B12" t="s">
        <v>85</v>
      </c>
      <c r="C12">
        <v>2018</v>
      </c>
      <c r="E12" s="13">
        <f t="shared" si="1"/>
        <v>2018</v>
      </c>
      <c r="F12" s="155">
        <f>LOOKUP(E12,Total_wind_installed_capacity!$A$3:$A$34,Total_wind_installed_capacity!$H$3:$H$34)</f>
        <v>580.40440000000001</v>
      </c>
      <c r="J12" s="170">
        <v>5</v>
      </c>
      <c r="K12">
        <v>1</v>
      </c>
      <c r="L12" s="188">
        <f t="shared" si="2"/>
        <v>5</v>
      </c>
      <c r="M12" t="s">
        <v>545</v>
      </c>
      <c r="N12" t="s">
        <v>546</v>
      </c>
      <c r="S12" s="171">
        <f t="shared" si="3"/>
        <v>126319.20000000001</v>
      </c>
      <c r="U12" s="194">
        <f t="shared" si="4"/>
        <v>35088.666666666672</v>
      </c>
      <c r="W12" s="195">
        <f t="shared" si="5"/>
        <v>25.263840000000005</v>
      </c>
      <c r="AF12" s="171">
        <f t="shared" si="6"/>
        <v>0</v>
      </c>
      <c r="AH12" s="195">
        <f t="shared" si="7"/>
        <v>0</v>
      </c>
      <c r="AJ12" s="164">
        <v>0.14000000000000001</v>
      </c>
      <c r="AK12" s="171">
        <f t="shared" si="8"/>
        <v>6132.0000000000009</v>
      </c>
      <c r="AM12">
        <v>20</v>
      </c>
      <c r="AN12" s="171">
        <f t="shared" si="9"/>
        <v>122640.00000000001</v>
      </c>
      <c r="AO12" s="199">
        <f t="shared" si="10"/>
        <v>24528000.000000004</v>
      </c>
      <c r="AR12" s="195">
        <f t="shared" si="12"/>
        <v>3.4951456310679614</v>
      </c>
      <c r="AT12" s="195">
        <v>1.03</v>
      </c>
      <c r="AV12" s="195">
        <f t="shared" si="11"/>
        <v>0.28611111111111109</v>
      </c>
      <c r="AY12" s="195"/>
    </row>
    <row r="13" spans="1:54">
      <c r="A13" s="13" t="str">
        <f t="shared" si="0"/>
        <v>\cite{Mendecka2018}</v>
      </c>
      <c r="B13" t="s">
        <v>85</v>
      </c>
      <c r="C13">
        <v>2018</v>
      </c>
      <c r="E13" s="13">
        <f t="shared" si="1"/>
        <v>2018</v>
      </c>
      <c r="F13" s="155">
        <f>LOOKUP(E13,Total_wind_installed_capacity!$A$3:$A$34,Total_wind_installed_capacity!$H$3:$H$34)</f>
        <v>580.40440000000001</v>
      </c>
      <c r="J13" s="170">
        <v>6</v>
      </c>
      <c r="K13">
        <v>1</v>
      </c>
      <c r="L13" s="188">
        <f t="shared" si="2"/>
        <v>6</v>
      </c>
      <c r="M13" t="s">
        <v>545</v>
      </c>
      <c r="N13" t="s">
        <v>546</v>
      </c>
      <c r="S13" s="171">
        <f t="shared" si="3"/>
        <v>97130.87999999999</v>
      </c>
      <c r="U13" s="194">
        <f t="shared" si="4"/>
        <v>26980.799999999996</v>
      </c>
      <c r="W13" s="195">
        <f t="shared" si="5"/>
        <v>16.188479999999998</v>
      </c>
      <c r="AF13" s="171">
        <f t="shared" si="6"/>
        <v>7839.8495999999996</v>
      </c>
      <c r="AH13" s="195">
        <f t="shared" si="7"/>
        <v>1.3066415999999998</v>
      </c>
      <c r="AJ13" s="164">
        <v>0.11</v>
      </c>
      <c r="AK13" s="171">
        <f t="shared" si="8"/>
        <v>5781.6</v>
      </c>
      <c r="AM13">
        <v>20</v>
      </c>
      <c r="AN13" s="171">
        <f t="shared" si="9"/>
        <v>115632</v>
      </c>
      <c r="AO13" s="199">
        <f t="shared" si="10"/>
        <v>19272000</v>
      </c>
      <c r="AR13" s="195">
        <f t="shared" si="12"/>
        <v>4.2857142857142865</v>
      </c>
      <c r="AT13" s="195">
        <v>0.84</v>
      </c>
      <c r="AV13" s="195">
        <f t="shared" si="11"/>
        <v>0.23333333333333331</v>
      </c>
      <c r="AY13" s="195">
        <v>67.8</v>
      </c>
    </row>
    <row r="14" spans="1:54">
      <c r="A14" s="13" t="str">
        <f t="shared" si="0"/>
        <v>\cite{Mendecka2018}</v>
      </c>
      <c r="B14" t="s">
        <v>85</v>
      </c>
      <c r="C14">
        <v>2018</v>
      </c>
      <c r="E14" s="13">
        <f t="shared" si="1"/>
        <v>2018</v>
      </c>
      <c r="F14" s="155">
        <f>LOOKUP(E14,Total_wind_installed_capacity!$A$3:$A$34,Total_wind_installed_capacity!$H$3:$H$34)</f>
        <v>580.40440000000001</v>
      </c>
      <c r="J14" s="170">
        <v>20</v>
      </c>
      <c r="K14">
        <v>1</v>
      </c>
      <c r="L14" s="188">
        <f t="shared" si="2"/>
        <v>20</v>
      </c>
      <c r="M14" t="s">
        <v>545</v>
      </c>
      <c r="N14" t="s">
        <v>546</v>
      </c>
      <c r="S14" s="171">
        <f t="shared" si="3"/>
        <v>291883.20000000007</v>
      </c>
      <c r="U14" s="194">
        <f t="shared" si="4"/>
        <v>81078.666666666686</v>
      </c>
      <c r="W14" s="195">
        <f t="shared" si="5"/>
        <v>14.594160000000004</v>
      </c>
      <c r="AF14" s="171">
        <f t="shared" si="6"/>
        <v>25673.808000000008</v>
      </c>
      <c r="AH14" s="195">
        <f t="shared" si="7"/>
        <v>1.2836904000000005</v>
      </c>
      <c r="AJ14" s="164">
        <v>0.17</v>
      </c>
      <c r="AK14" s="171">
        <f t="shared" si="8"/>
        <v>29784.000000000004</v>
      </c>
      <c r="AM14">
        <v>20</v>
      </c>
      <c r="AN14" s="171">
        <f t="shared" si="9"/>
        <v>595680.00000000012</v>
      </c>
      <c r="AO14" s="199">
        <f t="shared" si="10"/>
        <v>29784000.000000007</v>
      </c>
      <c r="AR14" s="195">
        <f t="shared" si="12"/>
        <v>7.3469387755102051</v>
      </c>
      <c r="AT14" s="195">
        <v>0.49</v>
      </c>
      <c r="AV14" s="195">
        <f t="shared" si="11"/>
        <v>0.1361111111111111</v>
      </c>
      <c r="AY14" s="195">
        <v>43.1</v>
      </c>
    </row>
    <row r="15" spans="1:54">
      <c r="A15" s="13" t="str">
        <f t="shared" si="0"/>
        <v>\cite{Mendecka2018}</v>
      </c>
      <c r="B15" t="s">
        <v>85</v>
      </c>
      <c r="C15">
        <v>2018</v>
      </c>
      <c r="E15" s="13">
        <f t="shared" si="1"/>
        <v>2018</v>
      </c>
      <c r="F15" s="155">
        <f>LOOKUP(E15,Total_wind_installed_capacity!$A$3:$A$34,Total_wind_installed_capacity!$H$3:$H$34)</f>
        <v>580.40440000000001</v>
      </c>
      <c r="J15" s="170">
        <v>30</v>
      </c>
      <c r="K15">
        <v>1</v>
      </c>
      <c r="L15" s="188">
        <f t="shared" si="2"/>
        <v>30</v>
      </c>
      <c r="M15" t="s">
        <v>545</v>
      </c>
      <c r="N15" t="s">
        <v>546</v>
      </c>
      <c r="S15" s="171">
        <f t="shared" si="3"/>
        <v>375278.4</v>
      </c>
      <c r="U15" s="194">
        <f t="shared" si="4"/>
        <v>104244</v>
      </c>
      <c r="W15" s="195">
        <f t="shared" si="5"/>
        <v>12.50928</v>
      </c>
      <c r="AF15" s="171">
        <f t="shared" si="6"/>
        <v>29218.104000000007</v>
      </c>
      <c r="AH15" s="195">
        <f t="shared" si="7"/>
        <v>0.97393680000000016</v>
      </c>
      <c r="AJ15" s="164">
        <v>0.17</v>
      </c>
      <c r="AK15" s="171">
        <f t="shared" si="8"/>
        <v>44676.000000000007</v>
      </c>
      <c r="AM15">
        <v>20</v>
      </c>
      <c r="AN15" s="171">
        <f t="shared" si="9"/>
        <v>893520.00000000012</v>
      </c>
      <c r="AO15" s="199">
        <f t="shared" si="10"/>
        <v>29784000.000000004</v>
      </c>
      <c r="AR15" s="195">
        <f t="shared" si="12"/>
        <v>8.571428571428573</v>
      </c>
      <c r="AT15" s="195">
        <v>0.42</v>
      </c>
      <c r="AV15" s="195">
        <f t="shared" si="11"/>
        <v>0.11666666666666665</v>
      </c>
      <c r="AY15" s="195">
        <v>32.700000000000003</v>
      </c>
    </row>
    <row r="16" spans="1:54">
      <c r="A16" s="13" t="str">
        <f t="shared" si="0"/>
        <v>\cite{Mendecka2018}</v>
      </c>
      <c r="B16" t="s">
        <v>85</v>
      </c>
      <c r="C16">
        <v>2018</v>
      </c>
      <c r="E16" s="13">
        <f t="shared" si="1"/>
        <v>2018</v>
      </c>
      <c r="F16" s="155">
        <f>LOOKUP(E16,Total_wind_installed_capacity!$A$3:$A$34,Total_wind_installed_capacity!$H$3:$H$34)</f>
        <v>580.40440000000001</v>
      </c>
      <c r="J16" s="170">
        <v>100</v>
      </c>
      <c r="K16">
        <v>1</v>
      </c>
      <c r="L16" s="188">
        <f t="shared" si="2"/>
        <v>100</v>
      </c>
      <c r="M16" t="s">
        <v>545</v>
      </c>
      <c r="N16" t="s">
        <v>546</v>
      </c>
      <c r="S16" s="171">
        <f t="shared" si="3"/>
        <v>1296480</v>
      </c>
      <c r="U16" s="194">
        <f t="shared" si="4"/>
        <v>360133.33333333331</v>
      </c>
      <c r="W16" s="195">
        <f t="shared" si="5"/>
        <v>12.964799999999999</v>
      </c>
      <c r="AF16" s="171">
        <f t="shared" si="6"/>
        <v>104068.8</v>
      </c>
      <c r="AH16" s="195">
        <f t="shared" si="7"/>
        <v>1.0406880000000001</v>
      </c>
      <c r="AJ16" s="164">
        <v>0.2</v>
      </c>
      <c r="AK16" s="171">
        <f t="shared" si="8"/>
        <v>175200</v>
      </c>
      <c r="AM16">
        <v>20</v>
      </c>
      <c r="AN16" s="171">
        <f t="shared" si="9"/>
        <v>3504000</v>
      </c>
      <c r="AO16" s="199">
        <f t="shared" si="10"/>
        <v>35040000</v>
      </c>
      <c r="AR16" s="195">
        <f t="shared" si="12"/>
        <v>9.7297297297297298</v>
      </c>
      <c r="AT16" s="195">
        <v>0.37</v>
      </c>
      <c r="AV16" s="195">
        <f t="shared" si="11"/>
        <v>0.10277777777777777</v>
      </c>
      <c r="AY16" s="195">
        <v>29.7</v>
      </c>
    </row>
    <row r="17" spans="1:51">
      <c r="A17" s="13" t="str">
        <f t="shared" si="0"/>
        <v>\cite{Mendecka2018}</v>
      </c>
      <c r="B17" t="s">
        <v>85</v>
      </c>
      <c r="C17">
        <v>2018</v>
      </c>
      <c r="E17" s="13">
        <f t="shared" si="1"/>
        <v>2018</v>
      </c>
      <c r="F17" s="155">
        <f>LOOKUP(E17,Total_wind_installed_capacity!$A$3:$A$34,Total_wind_installed_capacity!$H$3:$H$34)</f>
        <v>580.40440000000001</v>
      </c>
      <c r="J17" s="170">
        <v>500</v>
      </c>
      <c r="K17">
        <v>1</v>
      </c>
      <c r="L17" s="188">
        <f t="shared" si="2"/>
        <v>500</v>
      </c>
      <c r="M17" t="s">
        <v>545</v>
      </c>
      <c r="N17" t="s">
        <v>546</v>
      </c>
      <c r="S17" s="171">
        <f t="shared" si="3"/>
        <v>2733120</v>
      </c>
      <c r="U17" s="194">
        <f t="shared" si="4"/>
        <v>759200</v>
      </c>
      <c r="W17" s="195">
        <f t="shared" si="5"/>
        <v>5.46624</v>
      </c>
      <c r="AF17" s="171">
        <f t="shared" si="6"/>
        <v>210240</v>
      </c>
      <c r="AH17" s="195">
        <f t="shared" si="7"/>
        <v>0.42048000000000002</v>
      </c>
      <c r="AJ17" s="164">
        <v>0.24</v>
      </c>
      <c r="AK17" s="171">
        <f t="shared" si="8"/>
        <v>1051200</v>
      </c>
      <c r="AM17">
        <v>20</v>
      </c>
      <c r="AN17" s="171">
        <f t="shared" si="9"/>
        <v>21024000</v>
      </c>
      <c r="AO17" s="199">
        <f t="shared" si="10"/>
        <v>42048000</v>
      </c>
      <c r="AR17" s="195">
        <f t="shared" si="12"/>
        <v>27.69230769230769</v>
      </c>
      <c r="AT17" s="195">
        <v>0.13</v>
      </c>
      <c r="AV17" s="195">
        <f t="shared" si="11"/>
        <v>3.6111111111111115E-2</v>
      </c>
      <c r="AY17" s="195">
        <v>10</v>
      </c>
    </row>
    <row r="18" spans="1:51">
      <c r="A18" s="13" t="str">
        <f t="shared" si="0"/>
        <v>\cite{Mendecka2018}</v>
      </c>
      <c r="B18" t="s">
        <v>85</v>
      </c>
      <c r="C18">
        <v>2018</v>
      </c>
      <c r="E18" s="13">
        <f t="shared" si="1"/>
        <v>2018</v>
      </c>
      <c r="F18" s="155">
        <f>LOOKUP(E18,Total_wind_installed_capacity!$A$3:$A$34,Total_wind_installed_capacity!$H$3:$H$34)</f>
        <v>580.40440000000001</v>
      </c>
      <c r="J18" s="170">
        <v>600</v>
      </c>
      <c r="K18">
        <v>1</v>
      </c>
      <c r="L18" s="188">
        <f t="shared" si="2"/>
        <v>600</v>
      </c>
      <c r="M18" t="s">
        <v>545</v>
      </c>
      <c r="N18" t="s">
        <v>546</v>
      </c>
      <c r="S18" s="171">
        <f t="shared" si="3"/>
        <v>5045760</v>
      </c>
      <c r="U18" s="194">
        <f t="shared" si="4"/>
        <v>1401600</v>
      </c>
      <c r="W18" s="195">
        <f t="shared" si="5"/>
        <v>8.4096000000000011</v>
      </c>
      <c r="AF18" s="171">
        <f t="shared" si="6"/>
        <v>355726.08000000002</v>
      </c>
      <c r="AH18" s="195">
        <f t="shared" si="7"/>
        <v>0.59287679999999998</v>
      </c>
      <c r="AJ18" s="164">
        <v>0.24</v>
      </c>
      <c r="AK18" s="171">
        <f t="shared" si="8"/>
        <v>1261440</v>
      </c>
      <c r="AM18">
        <v>20</v>
      </c>
      <c r="AN18" s="171">
        <f t="shared" si="9"/>
        <v>25228800</v>
      </c>
      <c r="AO18" s="199">
        <f t="shared" si="10"/>
        <v>42048000</v>
      </c>
      <c r="AR18" s="195">
        <f t="shared" si="12"/>
        <v>18</v>
      </c>
      <c r="AT18" s="195">
        <v>0.2</v>
      </c>
      <c r="AV18" s="195">
        <f t="shared" si="11"/>
        <v>5.5555555555555559E-2</v>
      </c>
      <c r="AY18" s="195">
        <v>14.1</v>
      </c>
    </row>
    <row r="19" spans="1:51">
      <c r="A19" s="13" t="str">
        <f t="shared" si="0"/>
        <v>\cite{Mendecka2018}</v>
      </c>
      <c r="B19" t="s">
        <v>85</v>
      </c>
      <c r="C19">
        <v>2018</v>
      </c>
      <c r="E19" s="13">
        <f t="shared" si="1"/>
        <v>2018</v>
      </c>
      <c r="F19" s="155">
        <f>LOOKUP(E19,Total_wind_installed_capacity!$A$3:$A$34,Total_wind_installed_capacity!$H$3:$H$34)</f>
        <v>580.40440000000001</v>
      </c>
      <c r="J19" s="170">
        <v>660</v>
      </c>
      <c r="K19">
        <v>1</v>
      </c>
      <c r="L19" s="188">
        <f t="shared" si="2"/>
        <v>660</v>
      </c>
      <c r="M19" t="s">
        <v>545</v>
      </c>
      <c r="N19" t="s">
        <v>546</v>
      </c>
      <c r="S19" s="171">
        <f t="shared" si="3"/>
        <v>3758040</v>
      </c>
      <c r="U19" s="194">
        <f t="shared" si="4"/>
        <v>1043900</v>
      </c>
      <c r="W19" s="195">
        <f t="shared" si="5"/>
        <v>5.694</v>
      </c>
      <c r="AF19" s="171">
        <f t="shared" si="6"/>
        <v>269422.56</v>
      </c>
      <c r="AH19" s="195">
        <f t="shared" si="7"/>
        <v>0.40821600000000002</v>
      </c>
      <c r="AJ19" s="164">
        <v>0.25</v>
      </c>
      <c r="AK19" s="171">
        <f t="shared" si="8"/>
        <v>1445400</v>
      </c>
      <c r="AM19">
        <v>20</v>
      </c>
      <c r="AN19" s="171">
        <f t="shared" si="9"/>
        <v>28908000</v>
      </c>
      <c r="AO19" s="199">
        <f t="shared" si="10"/>
        <v>43800000</v>
      </c>
      <c r="AR19" s="195">
        <f t="shared" si="12"/>
        <v>27.69230769230769</v>
      </c>
      <c r="AT19" s="195">
        <v>0.13</v>
      </c>
      <c r="AV19" s="195">
        <f t="shared" si="11"/>
        <v>3.6111111111111115E-2</v>
      </c>
      <c r="AY19" s="195">
        <v>9.32</v>
      </c>
    </row>
    <row r="20" spans="1:51">
      <c r="A20" s="13" t="str">
        <f t="shared" si="0"/>
        <v>\cite{Mendecka2018}</v>
      </c>
      <c r="B20" t="s">
        <v>85</v>
      </c>
      <c r="C20">
        <v>2018</v>
      </c>
      <c r="E20" s="13">
        <f t="shared" si="1"/>
        <v>2018</v>
      </c>
      <c r="F20" s="155">
        <f>LOOKUP(E20,Total_wind_installed_capacity!$A$3:$A$34,Total_wind_installed_capacity!$H$3:$H$34)</f>
        <v>580.40440000000001</v>
      </c>
      <c r="J20" s="170">
        <v>750</v>
      </c>
      <c r="K20">
        <v>1</v>
      </c>
      <c r="L20" s="188">
        <f t="shared" si="2"/>
        <v>750</v>
      </c>
      <c r="M20" t="s">
        <v>545</v>
      </c>
      <c r="N20" t="s">
        <v>546</v>
      </c>
      <c r="S20" s="171">
        <f t="shared" si="3"/>
        <v>4927500</v>
      </c>
      <c r="U20" s="194">
        <f t="shared" si="4"/>
        <v>1368750</v>
      </c>
      <c r="W20" s="195">
        <f t="shared" si="5"/>
        <v>6.57</v>
      </c>
      <c r="AF20" s="171">
        <f t="shared" si="6"/>
        <v>338355</v>
      </c>
      <c r="AH20" s="195">
        <f t="shared" si="7"/>
        <v>0.45113999999999999</v>
      </c>
      <c r="AJ20" s="164">
        <v>0.25</v>
      </c>
      <c r="AK20" s="171">
        <f t="shared" si="8"/>
        <v>1642500</v>
      </c>
      <c r="AM20">
        <v>20</v>
      </c>
      <c r="AN20" s="171">
        <f t="shared" si="9"/>
        <v>32850000</v>
      </c>
      <c r="AO20" s="199">
        <f t="shared" si="10"/>
        <v>43800000</v>
      </c>
      <c r="AR20" s="195">
        <f t="shared" si="12"/>
        <v>24</v>
      </c>
      <c r="AT20" s="195">
        <v>0.15</v>
      </c>
      <c r="AV20" s="195">
        <f t="shared" si="11"/>
        <v>4.1666666666666664E-2</v>
      </c>
      <c r="AY20" s="195">
        <v>10.3</v>
      </c>
    </row>
    <row r="21" spans="1:51">
      <c r="A21" s="13" t="str">
        <f t="shared" si="0"/>
        <v>\cite{Mendecka2018}</v>
      </c>
      <c r="B21" t="s">
        <v>85</v>
      </c>
      <c r="C21">
        <v>2018</v>
      </c>
      <c r="E21" s="13">
        <f t="shared" si="1"/>
        <v>2018</v>
      </c>
      <c r="F21" s="155">
        <f>LOOKUP(E21,Total_wind_installed_capacity!$A$3:$A$34,Total_wind_installed_capacity!$H$3:$H$34)</f>
        <v>580.40440000000001</v>
      </c>
      <c r="J21" s="170">
        <v>850</v>
      </c>
      <c r="K21">
        <v>1</v>
      </c>
      <c r="L21" s="188">
        <f t="shared" si="2"/>
        <v>850</v>
      </c>
      <c r="M21" t="s">
        <v>545</v>
      </c>
      <c r="N21" t="s">
        <v>546</v>
      </c>
      <c r="S21" s="171">
        <f t="shared" si="3"/>
        <v>4467600</v>
      </c>
      <c r="U21" s="194">
        <f t="shared" si="4"/>
        <v>1241000</v>
      </c>
      <c r="W21" s="195">
        <f t="shared" si="5"/>
        <v>5.2560000000000002</v>
      </c>
      <c r="AF21" s="171">
        <f t="shared" si="6"/>
        <v>339537.6</v>
      </c>
      <c r="AH21" s="195">
        <f t="shared" si="7"/>
        <v>0.39945599999999998</v>
      </c>
      <c r="AJ21" s="164">
        <v>0.25</v>
      </c>
      <c r="AK21" s="171">
        <f t="shared" si="8"/>
        <v>1861500</v>
      </c>
      <c r="AM21">
        <v>20</v>
      </c>
      <c r="AN21" s="171">
        <f t="shared" si="9"/>
        <v>37230000</v>
      </c>
      <c r="AO21" s="199">
        <f t="shared" si="10"/>
        <v>43800000</v>
      </c>
      <c r="AR21" s="195">
        <f t="shared" si="12"/>
        <v>30</v>
      </c>
      <c r="AT21" s="195">
        <v>0.12</v>
      </c>
      <c r="AV21" s="195">
        <f t="shared" si="11"/>
        <v>3.3333333333333333E-2</v>
      </c>
      <c r="AY21" s="195">
        <v>9.1199999999999992</v>
      </c>
    </row>
    <row r="22" spans="1:51">
      <c r="A22" s="13" t="str">
        <f t="shared" si="0"/>
        <v>\cite{Mendecka2018}</v>
      </c>
      <c r="B22" t="s">
        <v>85</v>
      </c>
      <c r="C22">
        <v>2018</v>
      </c>
      <c r="E22" s="13">
        <f t="shared" si="1"/>
        <v>2018</v>
      </c>
      <c r="F22" s="155">
        <f>LOOKUP(E22,Total_wind_installed_capacity!$A$3:$A$34,Total_wind_installed_capacity!$H$3:$H$34)</f>
        <v>580.40440000000001</v>
      </c>
      <c r="J22" s="170">
        <v>1250</v>
      </c>
      <c r="K22">
        <v>1</v>
      </c>
      <c r="L22" s="188">
        <f t="shared" si="2"/>
        <v>1250</v>
      </c>
      <c r="M22" t="s">
        <v>545</v>
      </c>
      <c r="N22" t="s">
        <v>546</v>
      </c>
      <c r="S22" s="171">
        <f t="shared" si="3"/>
        <v>5913000</v>
      </c>
      <c r="U22" s="194">
        <f t="shared" si="4"/>
        <v>1642500</v>
      </c>
      <c r="W22" s="195">
        <f t="shared" si="5"/>
        <v>4.7303999999999995</v>
      </c>
      <c r="AF22" s="171">
        <f t="shared" si="6"/>
        <v>417457.8</v>
      </c>
      <c r="AH22" s="195">
        <f t="shared" si="7"/>
        <v>0.33396623999999997</v>
      </c>
      <c r="AJ22" s="164">
        <v>0.27</v>
      </c>
      <c r="AK22" s="171">
        <f t="shared" si="8"/>
        <v>2956500</v>
      </c>
      <c r="AM22">
        <v>20</v>
      </c>
      <c r="AN22" s="171">
        <f t="shared" si="9"/>
        <v>59130000</v>
      </c>
      <c r="AO22" s="199">
        <f t="shared" si="10"/>
        <v>47304000</v>
      </c>
      <c r="AR22" s="195">
        <f t="shared" si="12"/>
        <v>36</v>
      </c>
      <c r="AT22" s="195">
        <v>0.1</v>
      </c>
      <c r="AV22" s="195">
        <f t="shared" si="11"/>
        <v>2.777777777777778E-2</v>
      </c>
      <c r="AY22" s="195">
        <v>7.06</v>
      </c>
    </row>
    <row r="23" spans="1:51">
      <c r="A23" s="13" t="str">
        <f t="shared" si="0"/>
        <v>\cite{Mendecka2018}</v>
      </c>
      <c r="B23" t="s">
        <v>85</v>
      </c>
      <c r="C23">
        <v>2018</v>
      </c>
      <c r="E23" s="13">
        <f t="shared" si="1"/>
        <v>2018</v>
      </c>
      <c r="F23" s="155">
        <f>LOOKUP(E23,Total_wind_installed_capacity!$A$3:$A$34,Total_wind_installed_capacity!$H$3:$H$34)</f>
        <v>580.40440000000001</v>
      </c>
      <c r="J23" s="170">
        <v>1800</v>
      </c>
      <c r="K23">
        <v>1</v>
      </c>
      <c r="L23" s="188">
        <f t="shared" si="2"/>
        <v>1800</v>
      </c>
      <c r="M23" t="s">
        <v>545</v>
      </c>
      <c r="N23" t="s">
        <v>546</v>
      </c>
      <c r="S23" s="171">
        <f t="shared" si="3"/>
        <v>9713088.0000000019</v>
      </c>
      <c r="U23" s="194">
        <f t="shared" si="4"/>
        <v>2698080.0000000005</v>
      </c>
      <c r="W23" s="195">
        <f t="shared" si="5"/>
        <v>5.396160000000001</v>
      </c>
      <c r="AF23" s="171">
        <f t="shared" si="6"/>
        <v>626052.67200000014</v>
      </c>
      <c r="AH23" s="195">
        <f t="shared" si="7"/>
        <v>0.34780704000000007</v>
      </c>
      <c r="AJ23" s="164">
        <v>0.28000000000000003</v>
      </c>
      <c r="AK23" s="171">
        <f t="shared" si="8"/>
        <v>4415040.0000000009</v>
      </c>
      <c r="AM23">
        <v>20</v>
      </c>
      <c r="AN23" s="171">
        <f t="shared" si="9"/>
        <v>88300800.000000015</v>
      </c>
      <c r="AO23" s="199">
        <f t="shared" si="10"/>
        <v>49056000.000000007</v>
      </c>
      <c r="AR23" s="195">
        <f t="shared" si="12"/>
        <v>32.727272727272727</v>
      </c>
      <c r="AT23" s="195">
        <v>0.11</v>
      </c>
      <c r="AV23" s="195">
        <f t="shared" si="11"/>
        <v>3.0555555555555555E-2</v>
      </c>
      <c r="AY23" s="195">
        <v>7.09</v>
      </c>
    </row>
    <row r="24" spans="1:51">
      <c r="A24" s="13" t="str">
        <f t="shared" si="0"/>
        <v>\cite{Mendecka2018}</v>
      </c>
      <c r="B24" t="s">
        <v>85</v>
      </c>
      <c r="C24">
        <v>2018</v>
      </c>
      <c r="E24" s="13">
        <f t="shared" si="1"/>
        <v>2018</v>
      </c>
      <c r="F24" s="155">
        <f>LOOKUP(E24,Total_wind_installed_capacity!$A$3:$A$34,Total_wind_installed_capacity!$H$3:$H$34)</f>
        <v>580.40440000000001</v>
      </c>
      <c r="J24" s="170">
        <v>2000</v>
      </c>
      <c r="K24">
        <v>1</v>
      </c>
      <c r="L24" s="188">
        <f t="shared" si="2"/>
        <v>2000</v>
      </c>
      <c r="M24" t="s">
        <v>545</v>
      </c>
      <c r="N24" t="s">
        <v>546</v>
      </c>
      <c r="S24" s="171">
        <f t="shared" si="3"/>
        <v>10792320</v>
      </c>
      <c r="U24" s="194">
        <f t="shared" si="4"/>
        <v>2997866.6666666665</v>
      </c>
      <c r="W24" s="195">
        <f t="shared" si="5"/>
        <v>5.3961600000000001</v>
      </c>
      <c r="AF24" s="171">
        <f t="shared" si="6"/>
        <v>752519.04</v>
      </c>
      <c r="AH24" s="195">
        <f t="shared" si="7"/>
        <v>0.37625952000000001</v>
      </c>
      <c r="AJ24" s="164">
        <v>0.28000000000000003</v>
      </c>
      <c r="AK24" s="171">
        <f t="shared" si="8"/>
        <v>4905600</v>
      </c>
      <c r="AM24">
        <v>20</v>
      </c>
      <c r="AN24" s="171">
        <f t="shared" si="9"/>
        <v>98112000</v>
      </c>
      <c r="AO24" s="199">
        <f t="shared" si="10"/>
        <v>49056000</v>
      </c>
      <c r="AR24" s="195">
        <f t="shared" si="12"/>
        <v>32.727272727272727</v>
      </c>
      <c r="AT24" s="195">
        <v>0.11</v>
      </c>
      <c r="AV24" s="195">
        <f t="shared" si="11"/>
        <v>3.0555555555555555E-2</v>
      </c>
      <c r="AY24" s="195">
        <v>7.67</v>
      </c>
    </row>
    <row r="25" spans="1:51">
      <c r="A25" s="13" t="str">
        <f t="shared" si="0"/>
        <v>\cite{Mendecka2018}</v>
      </c>
      <c r="B25" t="s">
        <v>85</v>
      </c>
      <c r="C25">
        <v>2018</v>
      </c>
      <c r="E25" s="13">
        <f t="shared" si="1"/>
        <v>2018</v>
      </c>
      <c r="F25" s="155">
        <f>LOOKUP(E25,Total_wind_installed_capacity!$A$3:$A$34,Total_wind_installed_capacity!$H$3:$H$34)</f>
        <v>580.40440000000001</v>
      </c>
      <c r="J25" s="170">
        <v>2000</v>
      </c>
      <c r="K25">
        <v>1</v>
      </c>
      <c r="L25" s="188">
        <f t="shared" si="2"/>
        <v>2000</v>
      </c>
      <c r="M25" t="s">
        <v>545</v>
      </c>
      <c r="N25" t="s">
        <v>546</v>
      </c>
      <c r="S25" s="171">
        <f t="shared" si="3"/>
        <v>16679040.000000002</v>
      </c>
      <c r="U25" s="194">
        <f t="shared" si="4"/>
        <v>4633066.666666667</v>
      </c>
      <c r="W25" s="195">
        <f t="shared" si="5"/>
        <v>8.3395200000000003</v>
      </c>
      <c r="AF25" s="171">
        <f t="shared" si="6"/>
        <v>1147910.3999999999</v>
      </c>
      <c r="AH25" s="195">
        <f t="shared" si="7"/>
        <v>0.5739552</v>
      </c>
      <c r="AJ25" s="164">
        <v>0.28000000000000003</v>
      </c>
      <c r="AK25" s="171">
        <f t="shared" si="8"/>
        <v>4905600</v>
      </c>
      <c r="AM25">
        <v>20</v>
      </c>
      <c r="AN25" s="171">
        <f t="shared" si="9"/>
        <v>98112000</v>
      </c>
      <c r="AO25" s="199">
        <f t="shared" si="10"/>
        <v>49056000</v>
      </c>
      <c r="AR25" s="195">
        <f t="shared" si="12"/>
        <v>21.176470588235293</v>
      </c>
      <c r="AT25" s="195">
        <v>0.17</v>
      </c>
      <c r="AV25" s="195">
        <f t="shared" si="11"/>
        <v>4.7222222222222221E-2</v>
      </c>
      <c r="AY25" s="195">
        <v>11.7</v>
      </c>
    </row>
    <row r="26" spans="1:51">
      <c r="A26" s="13" t="str">
        <f t="shared" si="0"/>
        <v>\cite{Mendecka2018}</v>
      </c>
      <c r="B26" t="s">
        <v>85</v>
      </c>
      <c r="C26">
        <v>2018</v>
      </c>
      <c r="E26" s="13">
        <f t="shared" si="1"/>
        <v>2018</v>
      </c>
      <c r="F26" s="155">
        <f>LOOKUP(E26,Total_wind_installed_capacity!$A$3:$A$34,Total_wind_installed_capacity!$H$3:$H$34)</f>
        <v>580.40440000000001</v>
      </c>
      <c r="J26" s="170">
        <v>2000</v>
      </c>
      <c r="K26">
        <v>1</v>
      </c>
      <c r="L26" s="188">
        <f t="shared" si="2"/>
        <v>2000</v>
      </c>
      <c r="M26" t="s">
        <v>545</v>
      </c>
      <c r="N26" t="s">
        <v>546</v>
      </c>
      <c r="S26" s="171">
        <f t="shared" si="3"/>
        <v>11773440</v>
      </c>
      <c r="U26" s="194">
        <f t="shared" si="4"/>
        <v>3270400</v>
      </c>
      <c r="W26" s="195">
        <f t="shared" si="5"/>
        <v>5.8867200000000004</v>
      </c>
      <c r="AF26" s="171">
        <f t="shared" si="6"/>
        <v>816291.83999999997</v>
      </c>
      <c r="AH26" s="195">
        <f t="shared" si="7"/>
        <v>0.40814592</v>
      </c>
      <c r="AJ26" s="164">
        <v>0.28000000000000003</v>
      </c>
      <c r="AK26" s="171">
        <f t="shared" si="8"/>
        <v>4905600</v>
      </c>
      <c r="AM26">
        <v>20</v>
      </c>
      <c r="AN26" s="171">
        <f t="shared" si="9"/>
        <v>98112000</v>
      </c>
      <c r="AO26" s="199">
        <f t="shared" si="10"/>
        <v>49056000</v>
      </c>
      <c r="AR26" s="195">
        <f t="shared" si="12"/>
        <v>30</v>
      </c>
      <c r="AT26" s="195">
        <v>0.12</v>
      </c>
      <c r="AV26" s="195">
        <f t="shared" si="11"/>
        <v>3.3333333333333333E-2</v>
      </c>
      <c r="AY26" s="195">
        <v>8.32</v>
      </c>
    </row>
    <row r="27" spans="1:51">
      <c r="A27" s="13" t="str">
        <f t="shared" si="0"/>
        <v>\cite{Mendecka2018}</v>
      </c>
      <c r="B27" t="s">
        <v>85</v>
      </c>
      <c r="C27">
        <v>2018</v>
      </c>
      <c r="E27" s="13">
        <f t="shared" si="1"/>
        <v>2018</v>
      </c>
      <c r="F27" s="155">
        <f>LOOKUP(E27,Total_wind_installed_capacity!$A$3:$A$34,Total_wind_installed_capacity!$H$3:$H$34)</f>
        <v>580.40440000000001</v>
      </c>
      <c r="J27" s="170">
        <v>2000</v>
      </c>
      <c r="K27">
        <v>1</v>
      </c>
      <c r="L27" s="188">
        <f t="shared" si="2"/>
        <v>2000</v>
      </c>
      <c r="M27" t="s">
        <v>545</v>
      </c>
      <c r="N27" t="s">
        <v>546</v>
      </c>
      <c r="S27" s="171">
        <f t="shared" si="3"/>
        <v>10792320</v>
      </c>
      <c r="U27" s="194">
        <f t="shared" si="4"/>
        <v>2997866.6666666665</v>
      </c>
      <c r="W27" s="195">
        <f t="shared" si="5"/>
        <v>5.3961600000000001</v>
      </c>
      <c r="AF27" s="171">
        <f t="shared" si="6"/>
        <v>742707.84</v>
      </c>
      <c r="AH27" s="195">
        <f t="shared" si="7"/>
        <v>0.37135391999999995</v>
      </c>
      <c r="AJ27" s="164">
        <v>0.28000000000000003</v>
      </c>
      <c r="AK27" s="171">
        <f t="shared" si="8"/>
        <v>4905600</v>
      </c>
      <c r="AM27">
        <v>20</v>
      </c>
      <c r="AN27" s="171">
        <f t="shared" si="9"/>
        <v>98112000</v>
      </c>
      <c r="AO27" s="199">
        <f t="shared" si="10"/>
        <v>49056000</v>
      </c>
      <c r="AR27" s="195">
        <f t="shared" si="12"/>
        <v>32.727272727272727</v>
      </c>
      <c r="AT27" s="195">
        <v>0.11</v>
      </c>
      <c r="AV27" s="195">
        <f t="shared" si="11"/>
        <v>3.0555555555555555E-2</v>
      </c>
      <c r="AY27" s="195">
        <v>7.57</v>
      </c>
    </row>
    <row r="28" spans="1:51">
      <c r="A28" s="13" t="str">
        <f t="shared" si="0"/>
        <v>\cite{Mendecka2018}</v>
      </c>
      <c r="B28" t="s">
        <v>85</v>
      </c>
      <c r="C28">
        <v>2018</v>
      </c>
      <c r="E28" s="13">
        <f t="shared" si="1"/>
        <v>2018</v>
      </c>
      <c r="F28" s="155">
        <f>LOOKUP(E28,Total_wind_installed_capacity!$A$3:$A$34,Total_wind_installed_capacity!$H$3:$H$34)</f>
        <v>580.40440000000001</v>
      </c>
      <c r="J28" s="170">
        <v>2000</v>
      </c>
      <c r="K28">
        <v>1</v>
      </c>
      <c r="L28" s="188">
        <f t="shared" si="2"/>
        <v>2000</v>
      </c>
      <c r="M28" t="s">
        <v>545</v>
      </c>
      <c r="N28" t="s">
        <v>546</v>
      </c>
      <c r="S28" s="171">
        <f t="shared" si="3"/>
        <v>10792320</v>
      </c>
      <c r="U28" s="194">
        <f t="shared" si="4"/>
        <v>2997866.6666666665</v>
      </c>
      <c r="W28" s="195">
        <f t="shared" si="5"/>
        <v>5.3961600000000001</v>
      </c>
      <c r="AF28" s="171">
        <f t="shared" si="6"/>
        <v>739764.48</v>
      </c>
      <c r="AH28" s="195">
        <f t="shared" si="7"/>
        <v>0.36988223999999997</v>
      </c>
      <c r="AJ28" s="164">
        <v>0.28000000000000003</v>
      </c>
      <c r="AK28" s="171">
        <f t="shared" si="8"/>
        <v>4905600</v>
      </c>
      <c r="AM28">
        <v>20</v>
      </c>
      <c r="AN28" s="171">
        <f t="shared" si="9"/>
        <v>98112000</v>
      </c>
      <c r="AO28" s="199">
        <f t="shared" si="10"/>
        <v>49056000</v>
      </c>
      <c r="AR28" s="195">
        <f t="shared" si="12"/>
        <v>32.727272727272727</v>
      </c>
      <c r="AT28" s="195">
        <v>0.11</v>
      </c>
      <c r="AV28" s="195">
        <f t="shared" si="11"/>
        <v>3.0555555555555555E-2</v>
      </c>
      <c r="AY28" s="195">
        <v>7.54</v>
      </c>
    </row>
    <row r="29" spans="1:51">
      <c r="A29" s="13" t="str">
        <f t="shared" si="0"/>
        <v>\cite{Mendecka2018}</v>
      </c>
      <c r="B29" t="s">
        <v>85</v>
      </c>
      <c r="C29">
        <v>2018</v>
      </c>
      <c r="E29" s="13">
        <f t="shared" si="1"/>
        <v>2018</v>
      </c>
      <c r="F29" s="155">
        <f>LOOKUP(E29,Total_wind_installed_capacity!$A$3:$A$34,Total_wind_installed_capacity!$H$3:$H$34)</f>
        <v>580.40440000000001</v>
      </c>
      <c r="J29" s="170">
        <v>3000</v>
      </c>
      <c r="K29">
        <v>1</v>
      </c>
      <c r="L29" s="188">
        <f t="shared" si="2"/>
        <v>3000</v>
      </c>
      <c r="M29" t="s">
        <v>545</v>
      </c>
      <c r="N29" t="s">
        <v>546</v>
      </c>
      <c r="S29" s="171">
        <f t="shared" si="3"/>
        <v>12193919.999999998</v>
      </c>
      <c r="U29" s="194">
        <f t="shared" si="4"/>
        <v>3387199.9999999995</v>
      </c>
      <c r="W29" s="195">
        <f t="shared" si="5"/>
        <v>4.0646399999999998</v>
      </c>
      <c r="AF29" s="171">
        <f t="shared" si="6"/>
        <v>917592.47999999975</v>
      </c>
      <c r="AH29" s="195">
        <f t="shared" si="7"/>
        <v>0.30586415999999994</v>
      </c>
      <c r="AJ29" s="164">
        <v>0.28999999999999998</v>
      </c>
      <c r="AK29" s="171">
        <f t="shared" si="8"/>
        <v>7621199.9999999991</v>
      </c>
      <c r="AM29">
        <v>20</v>
      </c>
      <c r="AN29" s="171">
        <f t="shared" si="9"/>
        <v>152423999.99999997</v>
      </c>
      <c r="AO29" s="199">
        <f t="shared" si="10"/>
        <v>50807999.999999993</v>
      </c>
      <c r="AR29" s="195">
        <f t="shared" si="12"/>
        <v>45</v>
      </c>
      <c r="AT29" s="195">
        <v>0.08</v>
      </c>
      <c r="AV29" s="195">
        <f t="shared" si="11"/>
        <v>2.2222222222222223E-2</v>
      </c>
      <c r="AY29" s="195">
        <v>6.02</v>
      </c>
    </row>
    <row r="30" spans="1:51">
      <c r="A30" s="13" t="str">
        <f t="shared" si="0"/>
        <v>\cite{Ozoemena2018}</v>
      </c>
      <c r="B30" t="s">
        <v>34</v>
      </c>
      <c r="C30">
        <v>2018</v>
      </c>
      <c r="E30" s="13">
        <f t="shared" si="1"/>
        <v>2018</v>
      </c>
      <c r="F30" s="155">
        <f>LOOKUP(E30,Total_wind_installed_capacity!$A$3:$A$34,Total_wind_installed_capacity!$H$3:$H$34)</f>
        <v>580.40440000000001</v>
      </c>
      <c r="J30" s="170">
        <v>1500</v>
      </c>
      <c r="K30">
        <v>1</v>
      </c>
      <c r="L30" s="188">
        <f t="shared" si="2"/>
        <v>1500</v>
      </c>
      <c r="M30" t="s">
        <v>545</v>
      </c>
      <c r="N30" t="s">
        <v>546</v>
      </c>
      <c r="O30">
        <v>70</v>
      </c>
      <c r="S30" s="171">
        <f t="shared" si="3"/>
        <v>0</v>
      </c>
      <c r="U30" s="194">
        <f t="shared" si="4"/>
        <v>0</v>
      </c>
      <c r="W30" s="195">
        <f t="shared" si="5"/>
        <v>0</v>
      </c>
      <c r="AF30" s="171">
        <f t="shared" si="6"/>
        <v>806270.4</v>
      </c>
      <c r="AH30" s="195">
        <f t="shared" si="7"/>
        <v>0.53751360000000004</v>
      </c>
      <c r="AJ30" s="164">
        <v>0.26</v>
      </c>
      <c r="AK30" s="171">
        <f t="shared" si="8"/>
        <v>3416400</v>
      </c>
      <c r="AM30">
        <v>20</v>
      </c>
      <c r="AN30" s="171">
        <f t="shared" si="9"/>
        <v>68328000</v>
      </c>
      <c r="AO30" s="199">
        <f t="shared" si="10"/>
        <v>45552000</v>
      </c>
      <c r="AR30" s="195"/>
      <c r="AT30" s="195">
        <v>0</v>
      </c>
      <c r="AV30" s="195">
        <f t="shared" si="11"/>
        <v>0</v>
      </c>
      <c r="AY30" s="195">
        <v>11.8</v>
      </c>
    </row>
    <row r="31" spans="1:51">
      <c r="A31" s="13" t="str">
        <f t="shared" si="0"/>
        <v>\cite{Stanek2018}</v>
      </c>
      <c r="B31" t="s">
        <v>162</v>
      </c>
      <c r="C31">
        <v>2018</v>
      </c>
      <c r="E31" s="13">
        <f t="shared" si="1"/>
        <v>2018</v>
      </c>
      <c r="F31" s="155">
        <f>LOOKUP(E31,Total_wind_installed_capacity!$A$3:$A$34,Total_wind_installed_capacity!$H$3:$H$34)</f>
        <v>580.40440000000001</v>
      </c>
      <c r="J31" s="170">
        <v>2000</v>
      </c>
      <c r="K31">
        <v>1</v>
      </c>
      <c r="L31" s="188">
        <f t="shared" si="2"/>
        <v>2000</v>
      </c>
      <c r="M31" t="s">
        <v>545</v>
      </c>
      <c r="N31" t="s">
        <v>546</v>
      </c>
      <c r="S31" s="171">
        <f t="shared" si="3"/>
        <v>0</v>
      </c>
      <c r="U31" s="194">
        <f t="shared" si="4"/>
        <v>0</v>
      </c>
      <c r="W31" s="195">
        <f t="shared" si="5"/>
        <v>0</v>
      </c>
      <c r="AF31" s="171">
        <f t="shared" si="6"/>
        <v>0</v>
      </c>
      <c r="AH31" s="195">
        <f t="shared" si="7"/>
        <v>0</v>
      </c>
      <c r="AJ31" s="164">
        <v>0.35</v>
      </c>
      <c r="AK31" s="171">
        <f t="shared" si="8"/>
        <v>6132000</v>
      </c>
      <c r="AM31">
        <v>20</v>
      </c>
      <c r="AN31" s="171">
        <f t="shared" si="9"/>
        <v>122640000</v>
      </c>
      <c r="AO31" s="199">
        <f t="shared" si="10"/>
        <v>61320000</v>
      </c>
      <c r="AR31" s="195"/>
      <c r="AT31" s="195">
        <v>0</v>
      </c>
      <c r="AV31" s="195">
        <f t="shared" si="11"/>
        <v>0</v>
      </c>
      <c r="AY31" s="195"/>
    </row>
    <row r="32" spans="1:51">
      <c r="A32" s="13" t="str">
        <f t="shared" si="0"/>
        <v>\cite{Stanek2018}</v>
      </c>
      <c r="B32" t="s">
        <v>162</v>
      </c>
      <c r="C32">
        <v>2018</v>
      </c>
      <c r="E32" s="13">
        <f t="shared" si="1"/>
        <v>2018</v>
      </c>
      <c r="F32" s="155">
        <f>LOOKUP(E32,Total_wind_installed_capacity!$A$3:$A$34,Total_wind_installed_capacity!$H$3:$H$34)</f>
        <v>580.40440000000001</v>
      </c>
      <c r="J32" s="170">
        <v>2000</v>
      </c>
      <c r="K32">
        <v>1</v>
      </c>
      <c r="L32" s="188">
        <f t="shared" si="2"/>
        <v>2000</v>
      </c>
      <c r="M32" t="s">
        <v>545</v>
      </c>
      <c r="N32" t="s">
        <v>546</v>
      </c>
      <c r="S32" s="171">
        <f t="shared" si="3"/>
        <v>0</v>
      </c>
      <c r="U32" s="194">
        <f t="shared" si="4"/>
        <v>0</v>
      </c>
      <c r="W32" s="195">
        <f t="shared" si="5"/>
        <v>0</v>
      </c>
      <c r="AF32" s="171">
        <f t="shared" si="6"/>
        <v>0</v>
      </c>
      <c r="AH32" s="195">
        <f t="shared" si="7"/>
        <v>0</v>
      </c>
      <c r="AJ32" s="164">
        <v>0.35</v>
      </c>
      <c r="AK32" s="171">
        <f t="shared" si="8"/>
        <v>6132000</v>
      </c>
      <c r="AM32">
        <v>20</v>
      </c>
      <c r="AN32" s="171">
        <f t="shared" si="9"/>
        <v>122640000</v>
      </c>
      <c r="AO32" s="199">
        <f t="shared" si="10"/>
        <v>61320000</v>
      </c>
      <c r="AR32" s="195"/>
      <c r="AT32" s="195">
        <v>0</v>
      </c>
      <c r="AV32" s="195">
        <f t="shared" si="11"/>
        <v>0</v>
      </c>
      <c r="AY32" s="195"/>
    </row>
    <row r="33" spans="1:51">
      <c r="A33" s="13" t="str">
        <f t="shared" si="0"/>
        <v>\cite{Yang2018}</v>
      </c>
      <c r="B33" t="s">
        <v>403</v>
      </c>
      <c r="C33">
        <v>2018</v>
      </c>
      <c r="E33" s="13">
        <f t="shared" si="1"/>
        <v>2018</v>
      </c>
      <c r="F33" s="155">
        <f>LOOKUP(E33,Total_wind_installed_capacity!$A$3:$A$34,Total_wind_installed_capacity!$H$3:$H$34)</f>
        <v>580.40440000000001</v>
      </c>
      <c r="J33" s="170">
        <v>3600</v>
      </c>
      <c r="K33">
        <v>1</v>
      </c>
      <c r="L33" s="188">
        <f t="shared" si="2"/>
        <v>3600</v>
      </c>
      <c r="M33" t="s">
        <v>545</v>
      </c>
      <c r="N33" t="s">
        <v>547</v>
      </c>
      <c r="O33">
        <v>116</v>
      </c>
      <c r="S33" s="171">
        <f t="shared" si="3"/>
        <v>0</v>
      </c>
      <c r="U33" s="194">
        <f t="shared" si="4"/>
        <v>0</v>
      </c>
      <c r="W33" s="195">
        <f t="shared" si="5"/>
        <v>0</v>
      </c>
      <c r="AF33" s="171">
        <f t="shared" si="6"/>
        <v>5620345.9200000018</v>
      </c>
      <c r="AH33" s="195">
        <f t="shared" si="7"/>
        <v>1.5612072000000006</v>
      </c>
      <c r="AJ33" s="164">
        <v>0.28000000000000003</v>
      </c>
      <c r="AK33" s="171">
        <f t="shared" si="8"/>
        <v>8830080.0000000019</v>
      </c>
      <c r="AM33">
        <v>25</v>
      </c>
      <c r="AN33" s="171">
        <f t="shared" si="9"/>
        <v>220752000.00000006</v>
      </c>
      <c r="AO33" s="199">
        <f t="shared" si="10"/>
        <v>61320000.000000015</v>
      </c>
      <c r="AR33" s="195"/>
      <c r="AT33" s="195">
        <v>0</v>
      </c>
      <c r="AV33" s="195">
        <f t="shared" si="11"/>
        <v>0</v>
      </c>
      <c r="AY33" s="195">
        <v>25.46</v>
      </c>
    </row>
    <row r="34" spans="1:51">
      <c r="A34" s="13" t="str">
        <f t="shared" ref="A34:A64" si="13">CONCATENATE("\cite{",B34,C34,"}")</f>
        <v>\cite{Vestas.2018}</v>
      </c>
      <c r="B34" t="s">
        <v>532</v>
      </c>
      <c r="C34">
        <v>2018</v>
      </c>
      <c r="E34" s="13">
        <f t="shared" si="1"/>
        <v>2018</v>
      </c>
      <c r="F34" s="155">
        <f>LOOKUP(E34,Total_wind_installed_capacity!$A$3:$A$34,Total_wind_installed_capacity!$H$3:$H$34)</f>
        <v>580.40440000000001</v>
      </c>
      <c r="J34" s="170">
        <v>2000</v>
      </c>
      <c r="K34">
        <v>1</v>
      </c>
      <c r="L34" s="188">
        <f t="shared" si="2"/>
        <v>2000</v>
      </c>
      <c r="M34" t="s">
        <v>545</v>
      </c>
      <c r="N34" t="s">
        <v>546</v>
      </c>
      <c r="O34">
        <v>116</v>
      </c>
      <c r="S34" s="171">
        <f t="shared" si="3"/>
        <v>15697920</v>
      </c>
      <c r="U34" s="194">
        <f t="shared" si="4"/>
        <v>4360533.333333333</v>
      </c>
      <c r="W34" s="195">
        <f t="shared" si="5"/>
        <v>7.8489599999999999</v>
      </c>
      <c r="AF34" s="171">
        <f t="shared" si="6"/>
        <v>1000742.3999999999</v>
      </c>
      <c r="AH34" s="195">
        <f t="shared" si="7"/>
        <v>0.5003711999999999</v>
      </c>
      <c r="AJ34" s="164">
        <v>0.56000000000000005</v>
      </c>
      <c r="AK34" s="171">
        <f t="shared" si="8"/>
        <v>9811200</v>
      </c>
      <c r="AM34">
        <v>20</v>
      </c>
      <c r="AN34" s="171">
        <f t="shared" si="9"/>
        <v>196224000</v>
      </c>
      <c r="AO34" s="199">
        <f t="shared" si="10"/>
        <v>98112000</v>
      </c>
      <c r="AR34" s="195">
        <f t="shared" si="12"/>
        <v>45</v>
      </c>
      <c r="AT34" s="195">
        <v>0.08</v>
      </c>
      <c r="AV34" s="195">
        <f t="shared" si="11"/>
        <v>2.2222222222222223E-2</v>
      </c>
      <c r="AY34" s="195">
        <v>5.0999999999999996</v>
      </c>
    </row>
    <row r="35" spans="1:51">
      <c r="A35" s="13" t="str">
        <f t="shared" si="13"/>
        <v>\cite{Gamesa.2018}</v>
      </c>
      <c r="B35" t="s">
        <v>530</v>
      </c>
      <c r="C35">
        <v>2018</v>
      </c>
      <c r="E35" s="13">
        <f t="shared" si="1"/>
        <v>2018</v>
      </c>
      <c r="F35" s="155">
        <f>LOOKUP(E35,Total_wind_installed_capacity!$A$3:$A$34,Total_wind_installed_capacity!$H$3:$H$34)</f>
        <v>580.40440000000001</v>
      </c>
      <c r="J35" s="170">
        <v>5000</v>
      </c>
      <c r="K35">
        <v>1</v>
      </c>
      <c r="L35" s="188">
        <f t="shared" si="2"/>
        <v>5000</v>
      </c>
      <c r="M35" t="s">
        <v>545</v>
      </c>
      <c r="N35" t="s">
        <v>546</v>
      </c>
      <c r="O35">
        <v>132</v>
      </c>
      <c r="S35" s="171">
        <f t="shared" si="3"/>
        <v>0</v>
      </c>
      <c r="U35" s="194">
        <f t="shared" si="4"/>
        <v>0</v>
      </c>
      <c r="W35" s="195">
        <f t="shared" si="5"/>
        <v>0</v>
      </c>
      <c r="AF35" s="171">
        <f t="shared" si="6"/>
        <v>3231914.4</v>
      </c>
      <c r="AH35" s="195">
        <f t="shared" si="7"/>
        <v>0.64638287999999999</v>
      </c>
      <c r="AJ35" s="164">
        <v>0.43</v>
      </c>
      <c r="AK35" s="171">
        <f t="shared" si="8"/>
        <v>18834000</v>
      </c>
      <c r="AM35">
        <v>20</v>
      </c>
      <c r="AN35" s="171">
        <f t="shared" si="9"/>
        <v>376680000</v>
      </c>
      <c r="AO35" s="199">
        <f t="shared" si="10"/>
        <v>75336000</v>
      </c>
      <c r="AR35" s="195"/>
      <c r="AT35" s="195">
        <v>0</v>
      </c>
      <c r="AV35" s="195">
        <f t="shared" si="11"/>
        <v>0</v>
      </c>
      <c r="AY35" s="195">
        <v>8.58</v>
      </c>
    </row>
    <row r="36" spans="1:51">
      <c r="A36" s="13" t="str">
        <f t="shared" si="13"/>
        <v>\cite{Gamesa.2018}</v>
      </c>
      <c r="B36" t="s">
        <v>530</v>
      </c>
      <c r="C36">
        <v>2018</v>
      </c>
      <c r="E36" s="13">
        <f t="shared" si="1"/>
        <v>2018</v>
      </c>
      <c r="F36" s="155">
        <f>LOOKUP(E36,Total_wind_installed_capacity!$A$3:$A$34,Total_wind_installed_capacity!$H$3:$H$34)</f>
        <v>580.40440000000001</v>
      </c>
      <c r="J36" s="170">
        <v>5000</v>
      </c>
      <c r="K36">
        <v>1</v>
      </c>
      <c r="L36" s="188">
        <f t="shared" si="2"/>
        <v>5000</v>
      </c>
      <c r="M36" t="s">
        <v>545</v>
      </c>
      <c r="N36" t="s">
        <v>546</v>
      </c>
      <c r="O36">
        <v>128</v>
      </c>
      <c r="S36" s="171">
        <f t="shared" si="3"/>
        <v>0</v>
      </c>
      <c r="U36" s="194">
        <f t="shared" si="4"/>
        <v>0</v>
      </c>
      <c r="W36" s="195">
        <f t="shared" si="5"/>
        <v>0</v>
      </c>
      <c r="AF36" s="171">
        <f t="shared" si="6"/>
        <v>3381360</v>
      </c>
      <c r="AH36" s="195">
        <f t="shared" si="7"/>
        <v>0.6762720000000001</v>
      </c>
      <c r="AJ36" s="164">
        <v>0.4</v>
      </c>
      <c r="AK36" s="171">
        <f t="shared" si="8"/>
        <v>17520000</v>
      </c>
      <c r="AM36">
        <v>20</v>
      </c>
      <c r="AN36" s="171">
        <f t="shared" si="9"/>
        <v>350400000</v>
      </c>
      <c r="AO36" s="199">
        <f t="shared" si="10"/>
        <v>70080000</v>
      </c>
      <c r="AR36" s="195"/>
      <c r="AT36" s="195">
        <v>0</v>
      </c>
      <c r="AV36" s="195">
        <f t="shared" si="11"/>
        <v>0</v>
      </c>
      <c r="AY36" s="195">
        <v>9.65</v>
      </c>
    </row>
    <row r="37" spans="1:51">
      <c r="A37" s="13" t="str">
        <f t="shared" si="13"/>
        <v>\cite{Siemens.2018}</v>
      </c>
      <c r="B37" t="s">
        <v>531</v>
      </c>
      <c r="C37">
        <v>2018</v>
      </c>
      <c r="E37" s="13">
        <f t="shared" si="1"/>
        <v>2018</v>
      </c>
      <c r="F37" s="155">
        <f>LOOKUP(E37,Total_wind_installed_capacity!$A$3:$A$34,Total_wind_installed_capacity!$H$3:$H$34)</f>
        <v>580.40440000000001</v>
      </c>
      <c r="J37" s="170">
        <v>3200</v>
      </c>
      <c r="K37">
        <v>1</v>
      </c>
      <c r="L37" s="188">
        <f t="shared" si="2"/>
        <v>3200</v>
      </c>
      <c r="M37" t="s">
        <v>545</v>
      </c>
      <c r="N37" t="s">
        <v>546</v>
      </c>
      <c r="O37">
        <v>113</v>
      </c>
      <c r="S37" s="171">
        <f t="shared" si="3"/>
        <v>0</v>
      </c>
      <c r="U37" s="194">
        <f t="shared" si="4"/>
        <v>0</v>
      </c>
      <c r="W37" s="195">
        <f t="shared" si="5"/>
        <v>0</v>
      </c>
      <c r="AF37" s="171">
        <f t="shared" si="6"/>
        <v>1031577.6</v>
      </c>
      <c r="AH37" s="195">
        <f t="shared" si="7"/>
        <v>0.32236799999999999</v>
      </c>
      <c r="AJ37" s="164">
        <v>0.46</v>
      </c>
      <c r="AK37" s="171">
        <f t="shared" si="8"/>
        <v>12894720</v>
      </c>
      <c r="AM37">
        <v>20</v>
      </c>
      <c r="AN37" s="171">
        <f t="shared" si="9"/>
        <v>257894400</v>
      </c>
      <c r="AO37" s="199">
        <f t="shared" si="10"/>
        <v>80592000</v>
      </c>
      <c r="AR37" s="195"/>
      <c r="AT37" s="195">
        <v>0</v>
      </c>
      <c r="AV37" s="195">
        <f t="shared" si="11"/>
        <v>0</v>
      </c>
      <c r="AY37" s="195">
        <v>4</v>
      </c>
    </row>
    <row r="38" spans="1:51">
      <c r="A38" s="13" t="str">
        <f t="shared" si="13"/>
        <v>\cite{Siemens.2018}</v>
      </c>
      <c r="B38" t="s">
        <v>531</v>
      </c>
      <c r="C38">
        <v>2018</v>
      </c>
      <c r="E38" s="13">
        <f t="shared" si="1"/>
        <v>2018</v>
      </c>
      <c r="F38" s="155">
        <f>LOOKUP(E38,Total_wind_installed_capacity!$A$3:$A$34,Total_wind_installed_capacity!$H$3:$H$34)</f>
        <v>580.40440000000001</v>
      </c>
      <c r="J38" s="170">
        <v>6000</v>
      </c>
      <c r="K38">
        <v>1</v>
      </c>
      <c r="L38" s="188">
        <f t="shared" si="2"/>
        <v>6000</v>
      </c>
      <c r="M38" t="s">
        <v>545</v>
      </c>
      <c r="N38" t="s">
        <v>547</v>
      </c>
      <c r="O38">
        <v>154</v>
      </c>
      <c r="S38" s="171">
        <f t="shared" si="3"/>
        <v>0</v>
      </c>
      <c r="U38" s="194">
        <f t="shared" si="4"/>
        <v>0</v>
      </c>
      <c r="W38" s="195">
        <f t="shared" si="5"/>
        <v>0</v>
      </c>
      <c r="AF38" s="171">
        <f t="shared" si="6"/>
        <v>4599000</v>
      </c>
      <c r="AH38" s="195">
        <f t="shared" si="7"/>
        <v>0.76649999999999996</v>
      </c>
      <c r="AJ38" s="164">
        <v>0.5</v>
      </c>
      <c r="AK38" s="171">
        <f t="shared" si="8"/>
        <v>26280000</v>
      </c>
      <c r="AM38">
        <v>25</v>
      </c>
      <c r="AN38" s="171">
        <f t="shared" si="9"/>
        <v>657000000</v>
      </c>
      <c r="AO38" s="199">
        <f t="shared" si="10"/>
        <v>109500000</v>
      </c>
      <c r="AR38" s="195"/>
      <c r="AT38" s="195">
        <v>0</v>
      </c>
      <c r="AV38" s="195">
        <f t="shared" si="11"/>
        <v>0</v>
      </c>
      <c r="AY38" s="195">
        <v>7</v>
      </c>
    </row>
    <row r="39" spans="1:51">
      <c r="A39" s="13" t="str">
        <f t="shared" si="13"/>
        <v>\cite{Siemens.2018}</v>
      </c>
      <c r="B39" t="s">
        <v>531</v>
      </c>
      <c r="C39">
        <v>2018</v>
      </c>
      <c r="E39" s="13">
        <f t="shared" si="1"/>
        <v>2018</v>
      </c>
      <c r="F39" s="155">
        <f>LOOKUP(E39,Total_wind_installed_capacity!$A$3:$A$34,Total_wind_installed_capacity!$H$3:$H$34)</f>
        <v>580.40440000000001</v>
      </c>
      <c r="J39" s="170">
        <v>7000</v>
      </c>
      <c r="K39">
        <v>1</v>
      </c>
      <c r="L39" s="188">
        <f t="shared" si="2"/>
        <v>7000</v>
      </c>
      <c r="M39" t="s">
        <v>545</v>
      </c>
      <c r="N39" t="s">
        <v>547</v>
      </c>
      <c r="O39">
        <v>154</v>
      </c>
      <c r="S39" s="171">
        <f t="shared" si="3"/>
        <v>0</v>
      </c>
      <c r="U39" s="194">
        <f t="shared" si="4"/>
        <v>0</v>
      </c>
      <c r="W39" s="195">
        <f t="shared" si="5"/>
        <v>0</v>
      </c>
      <c r="AF39" s="171">
        <f t="shared" si="6"/>
        <v>4323060</v>
      </c>
      <c r="AH39" s="195">
        <f t="shared" si="7"/>
        <v>0.61758000000000002</v>
      </c>
      <c r="AJ39" s="164">
        <v>0.47</v>
      </c>
      <c r="AK39" s="171">
        <f t="shared" si="8"/>
        <v>28820400</v>
      </c>
      <c r="AM39">
        <v>25</v>
      </c>
      <c r="AN39" s="171">
        <f t="shared" si="9"/>
        <v>720510000</v>
      </c>
      <c r="AO39" s="199">
        <f t="shared" si="10"/>
        <v>102930000</v>
      </c>
      <c r="AR39" s="195"/>
      <c r="AT39" s="195">
        <v>0</v>
      </c>
      <c r="AV39" s="195">
        <f t="shared" si="11"/>
        <v>0</v>
      </c>
      <c r="AY39" s="195">
        <v>6</v>
      </c>
    </row>
    <row r="40" spans="1:51">
      <c r="A40" s="13" t="str">
        <f t="shared" si="13"/>
        <v>\cite{Huang2017}</v>
      </c>
      <c r="B40" t="s">
        <v>244</v>
      </c>
      <c r="C40">
        <v>2017</v>
      </c>
      <c r="E40" s="13">
        <f t="shared" si="1"/>
        <v>2017</v>
      </c>
      <c r="F40" s="155">
        <f>LOOKUP(E40,Total_wind_installed_capacity!$A$3:$A$34,Total_wind_installed_capacity!$H$3:$H$34)</f>
        <v>530.78719999999998</v>
      </c>
      <c r="J40" s="170">
        <v>2000</v>
      </c>
      <c r="K40">
        <v>1</v>
      </c>
      <c r="L40" s="188">
        <f t="shared" si="2"/>
        <v>2000</v>
      </c>
      <c r="M40" t="s">
        <v>545</v>
      </c>
      <c r="N40" t="s">
        <v>547</v>
      </c>
      <c r="S40" s="171">
        <f t="shared" si="3"/>
        <v>0</v>
      </c>
      <c r="U40" s="194">
        <f t="shared" si="4"/>
        <v>0</v>
      </c>
      <c r="W40" s="195">
        <f t="shared" si="5"/>
        <v>0</v>
      </c>
      <c r="AF40" s="171">
        <f t="shared" si="6"/>
        <v>0</v>
      </c>
      <c r="AH40" s="195">
        <f t="shared" si="7"/>
        <v>0</v>
      </c>
      <c r="AJ40" s="164">
        <v>0.34</v>
      </c>
      <c r="AK40" s="171">
        <f t="shared" si="8"/>
        <v>5956800</v>
      </c>
      <c r="AM40">
        <v>20</v>
      </c>
      <c r="AN40" s="171">
        <f t="shared" si="9"/>
        <v>119136000</v>
      </c>
      <c r="AO40" s="199">
        <f t="shared" si="10"/>
        <v>59568000</v>
      </c>
      <c r="AR40" s="195"/>
      <c r="AT40" s="195">
        <v>0</v>
      </c>
      <c r="AV40" s="195">
        <f t="shared" si="11"/>
        <v>0</v>
      </c>
      <c r="AY40" s="195"/>
    </row>
    <row r="41" spans="1:51">
      <c r="A41" s="13" t="str">
        <f t="shared" si="13"/>
        <v>\cite{Lombardi2017}</v>
      </c>
      <c r="B41" t="s">
        <v>172</v>
      </c>
      <c r="C41">
        <v>2017</v>
      </c>
      <c r="E41" s="13">
        <f t="shared" si="1"/>
        <v>2017</v>
      </c>
      <c r="F41" s="155">
        <f>LOOKUP(E41,Total_wind_installed_capacity!$A$3:$A$34,Total_wind_installed_capacity!$H$3:$H$34)</f>
        <v>530.78719999999998</v>
      </c>
      <c r="J41" s="170">
        <v>1</v>
      </c>
      <c r="K41">
        <v>1</v>
      </c>
      <c r="L41" s="188">
        <f t="shared" si="2"/>
        <v>1</v>
      </c>
      <c r="M41" t="s">
        <v>548</v>
      </c>
      <c r="N41" t="s">
        <v>546</v>
      </c>
      <c r="O41">
        <v>2</v>
      </c>
      <c r="S41" s="171">
        <f t="shared" si="3"/>
        <v>0</v>
      </c>
      <c r="U41" s="194">
        <f t="shared" si="4"/>
        <v>0</v>
      </c>
      <c r="W41" s="195">
        <f t="shared" si="5"/>
        <v>0</v>
      </c>
      <c r="AF41" s="171">
        <f t="shared" si="6"/>
        <v>3547.8</v>
      </c>
      <c r="AH41" s="195">
        <f t="shared" si="7"/>
        <v>3.5478000000000001</v>
      </c>
      <c r="AJ41" s="164">
        <v>0.09</v>
      </c>
      <c r="AK41" s="171">
        <f t="shared" si="8"/>
        <v>788.4</v>
      </c>
      <c r="AM41">
        <v>20</v>
      </c>
      <c r="AN41" s="171">
        <f t="shared" si="9"/>
        <v>15768</v>
      </c>
      <c r="AO41" s="199">
        <f t="shared" si="10"/>
        <v>15768000</v>
      </c>
      <c r="AR41" s="195"/>
      <c r="AT41" s="195">
        <v>0</v>
      </c>
      <c r="AV41" s="195">
        <f t="shared" si="11"/>
        <v>0</v>
      </c>
      <c r="AY41" s="195">
        <v>225</v>
      </c>
    </row>
    <row r="42" spans="1:51">
      <c r="A42" s="13" t="str">
        <f t="shared" si="13"/>
        <v>\cite{Lombardi2017}</v>
      </c>
      <c r="B42" t="s">
        <v>172</v>
      </c>
      <c r="C42">
        <v>2017</v>
      </c>
      <c r="E42" s="13">
        <f t="shared" si="1"/>
        <v>2017</v>
      </c>
      <c r="F42" s="155">
        <f>LOOKUP(E42,Total_wind_installed_capacity!$A$3:$A$34,Total_wind_installed_capacity!$H$3:$H$34)</f>
        <v>530.78719999999998</v>
      </c>
      <c r="J42" s="170">
        <v>3</v>
      </c>
      <c r="K42">
        <v>1</v>
      </c>
      <c r="L42" s="188">
        <f t="shared" si="2"/>
        <v>3</v>
      </c>
      <c r="M42" t="s">
        <v>548</v>
      </c>
      <c r="N42" t="s">
        <v>546</v>
      </c>
      <c r="O42">
        <v>3.2</v>
      </c>
      <c r="S42" s="171">
        <f t="shared" si="3"/>
        <v>0</v>
      </c>
      <c r="U42" s="194">
        <f t="shared" si="4"/>
        <v>0</v>
      </c>
      <c r="W42" s="195">
        <f t="shared" si="5"/>
        <v>0</v>
      </c>
      <c r="AF42" s="171">
        <f t="shared" si="6"/>
        <v>8372.8080000000009</v>
      </c>
      <c r="AH42" s="195">
        <f t="shared" si="7"/>
        <v>2.7909360000000003</v>
      </c>
      <c r="AJ42" s="164">
        <v>0.09</v>
      </c>
      <c r="AK42" s="171">
        <f t="shared" si="8"/>
        <v>2365.2000000000003</v>
      </c>
      <c r="AM42">
        <v>20</v>
      </c>
      <c r="AN42" s="171">
        <f t="shared" si="9"/>
        <v>47304.000000000007</v>
      </c>
      <c r="AO42" s="199">
        <f t="shared" si="10"/>
        <v>15768000.000000002</v>
      </c>
      <c r="AR42" s="195"/>
      <c r="AT42" s="195">
        <v>0</v>
      </c>
      <c r="AV42" s="195">
        <f t="shared" si="11"/>
        <v>0</v>
      </c>
      <c r="AY42" s="195">
        <v>177</v>
      </c>
    </row>
    <row r="43" spans="1:51">
      <c r="A43" s="13" t="str">
        <f t="shared" si="13"/>
        <v>\cite{Siddiqui2017}</v>
      </c>
      <c r="B43" t="s">
        <v>118</v>
      </c>
      <c r="C43">
        <v>2017</v>
      </c>
      <c r="E43" s="13">
        <f t="shared" si="1"/>
        <v>2017</v>
      </c>
      <c r="F43" s="155">
        <f>LOOKUP(E43,Total_wind_installed_capacity!$A$3:$A$34,Total_wind_installed_capacity!$H$3:$H$34)</f>
        <v>530.78719999999998</v>
      </c>
      <c r="J43" s="170">
        <v>1890</v>
      </c>
      <c r="K43">
        <v>1</v>
      </c>
      <c r="L43" s="188">
        <f t="shared" si="2"/>
        <v>1890</v>
      </c>
      <c r="M43" t="s">
        <v>545</v>
      </c>
      <c r="N43" t="s">
        <v>546</v>
      </c>
      <c r="S43" s="171">
        <f t="shared" si="3"/>
        <v>0</v>
      </c>
      <c r="U43" s="194">
        <f t="shared" si="4"/>
        <v>0</v>
      </c>
      <c r="W43" s="195">
        <f t="shared" si="5"/>
        <v>0</v>
      </c>
      <c r="AF43" s="171">
        <f t="shared" si="6"/>
        <v>1396532.34</v>
      </c>
      <c r="AH43" s="195">
        <f t="shared" si="7"/>
        <v>0.73890600000000006</v>
      </c>
      <c r="AJ43" s="164">
        <v>0.35</v>
      </c>
      <c r="AK43" s="171">
        <f t="shared" si="8"/>
        <v>5794740</v>
      </c>
      <c r="AM43">
        <v>20</v>
      </c>
      <c r="AN43" s="171">
        <f t="shared" si="9"/>
        <v>115894800</v>
      </c>
      <c r="AO43" s="199">
        <f t="shared" si="10"/>
        <v>61320000</v>
      </c>
      <c r="AR43" s="195"/>
      <c r="AT43" s="195">
        <v>0</v>
      </c>
      <c r="AV43" s="195">
        <f t="shared" si="11"/>
        <v>0</v>
      </c>
      <c r="AY43" s="195">
        <v>12.05</v>
      </c>
    </row>
    <row r="44" spans="1:51">
      <c r="A44" s="13" t="str">
        <f t="shared" si="13"/>
        <v>\cite{Wang2017}</v>
      </c>
      <c r="B44" t="s">
        <v>26</v>
      </c>
      <c r="C44">
        <v>2017</v>
      </c>
      <c r="E44" s="13">
        <f t="shared" si="1"/>
        <v>2017</v>
      </c>
      <c r="F44" s="155">
        <f>LOOKUP(E44,Total_wind_installed_capacity!$A$3:$A$34,Total_wind_installed_capacity!$H$3:$H$34)</f>
        <v>530.78719999999998</v>
      </c>
      <c r="J44" s="169">
        <v>0.6</v>
      </c>
      <c r="K44">
        <v>1</v>
      </c>
      <c r="L44" s="188">
        <f t="shared" si="2"/>
        <v>0.6</v>
      </c>
      <c r="M44" t="s">
        <v>545</v>
      </c>
      <c r="N44" t="s">
        <v>546</v>
      </c>
      <c r="S44" s="171">
        <f t="shared" si="3"/>
        <v>147.16800000000001</v>
      </c>
      <c r="U44" s="194">
        <f t="shared" si="4"/>
        <v>40.880000000000003</v>
      </c>
      <c r="W44" s="195">
        <f t="shared" si="5"/>
        <v>0.24528000000000003</v>
      </c>
      <c r="AF44" s="171">
        <f t="shared" si="6"/>
        <v>0</v>
      </c>
      <c r="AH44" s="195">
        <f t="shared" si="7"/>
        <v>0</v>
      </c>
      <c r="AJ44" s="164">
        <v>0.02</v>
      </c>
      <c r="AK44" s="171">
        <f t="shared" si="8"/>
        <v>105.12</v>
      </c>
      <c r="AM44">
        <v>20</v>
      </c>
      <c r="AN44" s="171">
        <f t="shared" si="9"/>
        <v>2102.4</v>
      </c>
      <c r="AO44" s="199">
        <f t="shared" si="10"/>
        <v>3504000.0000000005</v>
      </c>
      <c r="AR44" s="195">
        <f t="shared" si="12"/>
        <v>51.428571428571431</v>
      </c>
      <c r="AT44" s="195">
        <v>7.0000000000000007E-2</v>
      </c>
      <c r="AV44" s="195">
        <f t="shared" si="11"/>
        <v>1.9444444444444445E-2</v>
      </c>
      <c r="AY44" s="195"/>
    </row>
    <row r="45" spans="1:51">
      <c r="A45" s="13" t="str">
        <f t="shared" si="13"/>
        <v>\cite{Vestas.2017}</v>
      </c>
      <c r="B45" t="s">
        <v>532</v>
      </c>
      <c r="C45">
        <v>2017</v>
      </c>
      <c r="E45" s="13">
        <f t="shared" si="1"/>
        <v>2017</v>
      </c>
      <c r="F45" s="155">
        <f>LOOKUP(E45,Total_wind_installed_capacity!$A$3:$A$34,Total_wind_installed_capacity!$H$3:$H$34)</f>
        <v>530.78719999999998</v>
      </c>
      <c r="J45" s="170">
        <v>3450</v>
      </c>
      <c r="K45">
        <v>1</v>
      </c>
      <c r="L45" s="188">
        <f t="shared" si="2"/>
        <v>3450</v>
      </c>
      <c r="M45" t="s">
        <v>545</v>
      </c>
      <c r="N45" t="s">
        <v>546</v>
      </c>
      <c r="O45">
        <v>112</v>
      </c>
      <c r="S45" s="171">
        <f t="shared" si="3"/>
        <v>31430880</v>
      </c>
      <c r="U45" s="194">
        <f t="shared" si="4"/>
        <v>8730800</v>
      </c>
      <c r="W45" s="195">
        <f t="shared" si="5"/>
        <v>9.1104000000000003</v>
      </c>
      <c r="AF45" s="171">
        <f t="shared" si="6"/>
        <v>1665836.64</v>
      </c>
      <c r="AH45" s="195">
        <f t="shared" si="7"/>
        <v>0.48285119999999992</v>
      </c>
      <c r="AJ45" s="164">
        <v>0.52</v>
      </c>
      <c r="AK45" s="171">
        <f t="shared" si="8"/>
        <v>15715440</v>
      </c>
      <c r="AM45">
        <v>20</v>
      </c>
      <c r="AN45" s="171">
        <f t="shared" si="9"/>
        <v>314308800</v>
      </c>
      <c r="AO45" s="199">
        <f t="shared" si="10"/>
        <v>91104000</v>
      </c>
      <c r="AR45" s="195">
        <f t="shared" si="12"/>
        <v>36</v>
      </c>
      <c r="AT45" s="195">
        <v>0.1</v>
      </c>
      <c r="AV45" s="195">
        <f t="shared" si="11"/>
        <v>2.777777777777778E-2</v>
      </c>
      <c r="AY45" s="195">
        <v>5.3</v>
      </c>
    </row>
    <row r="46" spans="1:51">
      <c r="A46" s="13" t="str">
        <f t="shared" si="13"/>
        <v>\cite{Vestas.2017}</v>
      </c>
      <c r="B46" t="s">
        <v>532</v>
      </c>
      <c r="C46">
        <v>2017</v>
      </c>
      <c r="E46" s="13">
        <f t="shared" si="1"/>
        <v>2017</v>
      </c>
      <c r="F46" s="155">
        <f>LOOKUP(E46,Total_wind_installed_capacity!$A$3:$A$34,Total_wind_installed_capacity!$H$3:$H$34)</f>
        <v>530.78719999999998</v>
      </c>
      <c r="J46" s="170">
        <v>2000</v>
      </c>
      <c r="K46">
        <v>1</v>
      </c>
      <c r="L46" s="188">
        <f t="shared" si="2"/>
        <v>2000</v>
      </c>
      <c r="M46" t="s">
        <v>545</v>
      </c>
      <c r="N46" t="s">
        <v>546</v>
      </c>
      <c r="O46">
        <v>120</v>
      </c>
      <c r="S46" s="171">
        <f t="shared" si="3"/>
        <v>12264000.000000002</v>
      </c>
      <c r="U46" s="194">
        <f t="shared" si="4"/>
        <v>3406666.666666667</v>
      </c>
      <c r="W46" s="195">
        <f t="shared" si="5"/>
        <v>6.1320000000000006</v>
      </c>
      <c r="AF46" s="171">
        <f t="shared" si="6"/>
        <v>1173840</v>
      </c>
      <c r="AH46" s="195">
        <f t="shared" si="7"/>
        <v>0.58692</v>
      </c>
      <c r="AJ46" s="164">
        <v>0.5</v>
      </c>
      <c r="AK46" s="171">
        <f t="shared" si="8"/>
        <v>8760000</v>
      </c>
      <c r="AM46">
        <v>20</v>
      </c>
      <c r="AN46" s="171">
        <f t="shared" si="9"/>
        <v>175200000</v>
      </c>
      <c r="AO46" s="199">
        <f t="shared" si="10"/>
        <v>87600000</v>
      </c>
      <c r="AR46" s="195">
        <f t="shared" si="12"/>
        <v>51.428571428571431</v>
      </c>
      <c r="AT46" s="195">
        <v>7.0000000000000007E-2</v>
      </c>
      <c r="AV46" s="195">
        <f t="shared" si="11"/>
        <v>1.9444444444444445E-2</v>
      </c>
      <c r="AY46" s="195">
        <v>6.7</v>
      </c>
    </row>
    <row r="47" spans="1:51">
      <c r="A47" s="13" t="str">
        <f t="shared" si="13"/>
        <v>\cite{Vestas.2017}</v>
      </c>
      <c r="B47" t="s">
        <v>532</v>
      </c>
      <c r="C47">
        <v>2017</v>
      </c>
      <c r="E47" s="13">
        <f t="shared" si="1"/>
        <v>2017</v>
      </c>
      <c r="F47" s="155">
        <f>LOOKUP(E47,Total_wind_installed_capacity!$A$3:$A$34,Total_wind_installed_capacity!$H$3:$H$34)</f>
        <v>530.78719999999998</v>
      </c>
      <c r="J47" s="170">
        <v>3450</v>
      </c>
      <c r="K47">
        <v>1</v>
      </c>
      <c r="L47" s="188">
        <f t="shared" si="2"/>
        <v>3450</v>
      </c>
      <c r="M47" t="s">
        <v>545</v>
      </c>
      <c r="N47" t="s">
        <v>546</v>
      </c>
      <c r="O47">
        <v>105</v>
      </c>
      <c r="S47" s="171">
        <f t="shared" si="3"/>
        <v>21155400.000000004</v>
      </c>
      <c r="U47" s="194">
        <f t="shared" si="4"/>
        <v>5876500.0000000009</v>
      </c>
      <c r="W47" s="195">
        <f t="shared" si="5"/>
        <v>6.1320000000000006</v>
      </c>
      <c r="AF47" s="171">
        <f t="shared" si="6"/>
        <v>1450656</v>
      </c>
      <c r="AH47" s="195">
        <f t="shared" si="7"/>
        <v>0.42048000000000002</v>
      </c>
      <c r="AJ47" s="164">
        <v>0.5</v>
      </c>
      <c r="AK47" s="171">
        <f t="shared" si="8"/>
        <v>15111000</v>
      </c>
      <c r="AM47">
        <v>20</v>
      </c>
      <c r="AN47" s="171">
        <f t="shared" si="9"/>
        <v>302220000</v>
      </c>
      <c r="AO47" s="199">
        <f t="shared" si="10"/>
        <v>87600000</v>
      </c>
      <c r="AR47" s="195">
        <f t="shared" si="12"/>
        <v>51.428571428571431</v>
      </c>
      <c r="AT47" s="195">
        <v>7.0000000000000007E-2</v>
      </c>
      <c r="AV47" s="195">
        <f t="shared" si="11"/>
        <v>1.9444444444444445E-2</v>
      </c>
      <c r="AY47" s="195">
        <v>4.8</v>
      </c>
    </row>
    <row r="48" spans="1:51">
      <c r="A48" s="13" t="str">
        <f t="shared" si="13"/>
        <v>\cite{Vestas.2017}</v>
      </c>
      <c r="B48" t="s">
        <v>532</v>
      </c>
      <c r="C48">
        <v>2017</v>
      </c>
      <c r="E48" s="13">
        <f t="shared" si="1"/>
        <v>2017</v>
      </c>
      <c r="F48" s="155">
        <f>LOOKUP(E48,Total_wind_installed_capacity!$A$3:$A$34,Total_wind_installed_capacity!$H$3:$H$34)</f>
        <v>530.78719999999998</v>
      </c>
      <c r="J48" s="170">
        <v>3450</v>
      </c>
      <c r="K48">
        <v>1</v>
      </c>
      <c r="L48" s="188">
        <f t="shared" si="2"/>
        <v>3450</v>
      </c>
      <c r="M48" t="s">
        <v>545</v>
      </c>
      <c r="N48" t="s">
        <v>546</v>
      </c>
      <c r="O48">
        <v>117</v>
      </c>
      <c r="S48" s="171">
        <f t="shared" si="3"/>
        <v>29375784.000000004</v>
      </c>
      <c r="U48" s="194">
        <f t="shared" si="4"/>
        <v>8159940.0000000009</v>
      </c>
      <c r="W48" s="195">
        <f t="shared" si="5"/>
        <v>8.5147200000000005</v>
      </c>
      <c r="AF48" s="171">
        <f t="shared" si="6"/>
        <v>1664627.7600000002</v>
      </c>
      <c r="AH48" s="195">
        <f t="shared" si="7"/>
        <v>0.48250080000000006</v>
      </c>
      <c r="AJ48" s="164">
        <v>0.54</v>
      </c>
      <c r="AK48" s="171">
        <f t="shared" si="8"/>
        <v>16319880.000000002</v>
      </c>
      <c r="AM48">
        <v>20</v>
      </c>
      <c r="AN48" s="171">
        <f t="shared" si="9"/>
        <v>326397600.00000006</v>
      </c>
      <c r="AO48" s="199">
        <f t="shared" si="10"/>
        <v>94608000.000000015</v>
      </c>
      <c r="AR48" s="195">
        <f t="shared" si="12"/>
        <v>40</v>
      </c>
      <c r="AT48" s="195">
        <v>0.09</v>
      </c>
      <c r="AV48" s="195">
        <f t="shared" si="11"/>
        <v>2.4999999999999998E-2</v>
      </c>
      <c r="AY48" s="195">
        <v>5.0999999999999996</v>
      </c>
    </row>
    <row r="49" spans="1:51">
      <c r="A49" s="13" t="str">
        <f t="shared" si="13"/>
        <v>\cite{Vestas.2017}</v>
      </c>
      <c r="B49" t="s">
        <v>532</v>
      </c>
      <c r="C49">
        <v>2017</v>
      </c>
      <c r="E49" s="13">
        <f t="shared" si="1"/>
        <v>2017</v>
      </c>
      <c r="F49" s="155">
        <f>LOOKUP(E49,Total_wind_installed_capacity!$A$3:$A$34,Total_wind_installed_capacity!$H$3:$H$34)</f>
        <v>530.78719999999998</v>
      </c>
      <c r="J49" s="170">
        <v>3450</v>
      </c>
      <c r="K49">
        <v>1</v>
      </c>
      <c r="L49" s="188">
        <f t="shared" si="2"/>
        <v>3450</v>
      </c>
      <c r="M49" t="s">
        <v>545</v>
      </c>
      <c r="N49" t="s">
        <v>546</v>
      </c>
      <c r="O49">
        <v>126</v>
      </c>
      <c r="S49" s="171">
        <f t="shared" si="3"/>
        <v>29013120</v>
      </c>
      <c r="U49" s="194">
        <f t="shared" si="4"/>
        <v>8059200</v>
      </c>
      <c r="W49" s="195">
        <f t="shared" si="5"/>
        <v>8.4096000000000011</v>
      </c>
      <c r="AF49" s="171">
        <f t="shared" si="6"/>
        <v>1856839.6799999999</v>
      </c>
      <c r="AH49" s="195">
        <f t="shared" si="7"/>
        <v>0.53821439999999998</v>
      </c>
      <c r="AJ49" s="164">
        <v>0.48</v>
      </c>
      <c r="AK49" s="171">
        <f t="shared" si="8"/>
        <v>14506560</v>
      </c>
      <c r="AM49">
        <v>20</v>
      </c>
      <c r="AN49" s="171">
        <f t="shared" si="9"/>
        <v>290131200</v>
      </c>
      <c r="AO49" s="199">
        <f t="shared" si="10"/>
        <v>84096000</v>
      </c>
      <c r="AR49" s="195">
        <f t="shared" si="12"/>
        <v>36</v>
      </c>
      <c r="AT49" s="195">
        <v>0.1</v>
      </c>
      <c r="AV49" s="195">
        <f t="shared" si="11"/>
        <v>2.777777777777778E-2</v>
      </c>
      <c r="AY49" s="195">
        <v>6.4</v>
      </c>
    </row>
    <row r="50" spans="1:51">
      <c r="A50" s="13" t="str">
        <f t="shared" si="13"/>
        <v>\cite{Vestas.2017}</v>
      </c>
      <c r="B50" t="s">
        <v>532</v>
      </c>
      <c r="C50">
        <v>2017</v>
      </c>
      <c r="E50" s="13">
        <f t="shared" si="1"/>
        <v>2017</v>
      </c>
      <c r="F50" s="155">
        <f>LOOKUP(E50,Total_wind_installed_capacity!$A$3:$A$34,Total_wind_installed_capacity!$H$3:$H$34)</f>
        <v>530.78719999999998</v>
      </c>
      <c r="J50" s="170">
        <v>3450</v>
      </c>
      <c r="K50">
        <v>1</v>
      </c>
      <c r="L50" s="188">
        <f t="shared" si="2"/>
        <v>3450</v>
      </c>
      <c r="M50" t="s">
        <v>545</v>
      </c>
      <c r="N50" t="s">
        <v>546</v>
      </c>
      <c r="O50">
        <v>136</v>
      </c>
      <c r="S50" s="171">
        <f t="shared" si="3"/>
        <v>0</v>
      </c>
      <c r="U50" s="194">
        <f t="shared" si="4"/>
        <v>0</v>
      </c>
      <c r="W50" s="195">
        <f t="shared" si="5"/>
        <v>0</v>
      </c>
      <c r="AF50" s="171">
        <f t="shared" si="6"/>
        <v>2021247.36</v>
      </c>
      <c r="AH50" s="195">
        <f t="shared" si="7"/>
        <v>0.58586880000000008</v>
      </c>
      <c r="AJ50" s="164">
        <v>0.44</v>
      </c>
      <c r="AK50" s="171">
        <f t="shared" si="8"/>
        <v>13297680</v>
      </c>
      <c r="AM50">
        <v>20</v>
      </c>
      <c r="AN50" s="171">
        <f t="shared" si="9"/>
        <v>265953600</v>
      </c>
      <c r="AO50" s="199">
        <f t="shared" si="10"/>
        <v>77088000</v>
      </c>
      <c r="AR50" s="195"/>
      <c r="AT50" s="195">
        <v>0</v>
      </c>
      <c r="AV50" s="195">
        <f t="shared" si="11"/>
        <v>0</v>
      </c>
      <c r="AY50" s="195">
        <v>7.6</v>
      </c>
    </row>
    <row r="51" spans="1:51">
      <c r="A51" s="13" t="str">
        <f t="shared" si="13"/>
        <v>\cite{Gamesa.2017}</v>
      </c>
      <c r="B51" t="s">
        <v>530</v>
      </c>
      <c r="C51">
        <v>2017</v>
      </c>
      <c r="E51" s="13">
        <f t="shared" si="1"/>
        <v>2017</v>
      </c>
      <c r="F51" s="155">
        <f>LOOKUP(E51,Total_wind_installed_capacity!$A$3:$A$34,Total_wind_installed_capacity!$H$3:$H$34)</f>
        <v>530.78719999999998</v>
      </c>
      <c r="J51" s="170">
        <v>2000</v>
      </c>
      <c r="K51">
        <v>1</v>
      </c>
      <c r="L51" s="188">
        <f t="shared" si="2"/>
        <v>2000</v>
      </c>
      <c r="M51" t="s">
        <v>545</v>
      </c>
      <c r="N51" t="s">
        <v>546</v>
      </c>
      <c r="O51">
        <v>114</v>
      </c>
      <c r="S51" s="171">
        <f t="shared" si="3"/>
        <v>0</v>
      </c>
      <c r="U51" s="194">
        <f t="shared" si="4"/>
        <v>0</v>
      </c>
      <c r="W51" s="195">
        <f t="shared" si="5"/>
        <v>0</v>
      </c>
      <c r="AF51" s="171">
        <f t="shared" si="6"/>
        <v>854800.8</v>
      </c>
      <c r="AH51" s="195">
        <f t="shared" si="7"/>
        <v>0.42740040000000007</v>
      </c>
      <c r="AJ51" s="164">
        <v>0.35</v>
      </c>
      <c r="AK51" s="171">
        <f t="shared" si="8"/>
        <v>6132000</v>
      </c>
      <c r="AM51">
        <v>20</v>
      </c>
      <c r="AN51" s="171">
        <f t="shared" si="9"/>
        <v>122640000</v>
      </c>
      <c r="AO51" s="199">
        <f t="shared" si="10"/>
        <v>61320000</v>
      </c>
      <c r="AR51" s="195"/>
      <c r="AT51" s="195">
        <v>0</v>
      </c>
      <c r="AV51" s="195">
        <f t="shared" si="11"/>
        <v>0</v>
      </c>
      <c r="AY51" s="195">
        <v>6.97</v>
      </c>
    </row>
    <row r="52" spans="1:51">
      <c r="A52" s="13" t="str">
        <f t="shared" si="13"/>
        <v>\cite{Gamesa.2017}</v>
      </c>
      <c r="B52" t="s">
        <v>530</v>
      </c>
      <c r="C52">
        <v>2017</v>
      </c>
      <c r="E52" s="13">
        <f t="shared" si="1"/>
        <v>2017</v>
      </c>
      <c r="F52" s="155">
        <f>LOOKUP(E52,Total_wind_installed_capacity!$A$3:$A$34,Total_wind_installed_capacity!$H$3:$H$34)</f>
        <v>530.78719999999998</v>
      </c>
      <c r="J52" s="170">
        <v>2000</v>
      </c>
      <c r="K52">
        <v>1</v>
      </c>
      <c r="L52" s="188">
        <f t="shared" si="2"/>
        <v>2000</v>
      </c>
      <c r="M52" t="s">
        <v>545</v>
      </c>
      <c r="N52" t="s">
        <v>546</v>
      </c>
      <c r="O52">
        <v>114</v>
      </c>
      <c r="S52" s="171">
        <f t="shared" si="3"/>
        <v>0</v>
      </c>
      <c r="U52" s="194">
        <f t="shared" si="4"/>
        <v>0</v>
      </c>
      <c r="W52" s="195">
        <f t="shared" si="5"/>
        <v>0</v>
      </c>
      <c r="AF52" s="171">
        <f t="shared" si="6"/>
        <v>944328</v>
      </c>
      <c r="AH52" s="195">
        <f t="shared" si="7"/>
        <v>0.47216399999999997</v>
      </c>
      <c r="AJ52" s="164">
        <v>0.35</v>
      </c>
      <c r="AK52" s="171">
        <f t="shared" si="8"/>
        <v>6132000</v>
      </c>
      <c r="AM52">
        <v>20</v>
      </c>
      <c r="AN52" s="171">
        <f t="shared" si="9"/>
        <v>122640000</v>
      </c>
      <c r="AO52" s="199">
        <f t="shared" si="10"/>
        <v>61320000</v>
      </c>
      <c r="AR52" s="195"/>
      <c r="AT52" s="195">
        <v>0</v>
      </c>
      <c r="AV52" s="195">
        <f t="shared" si="11"/>
        <v>0</v>
      </c>
      <c r="AY52" s="195">
        <v>7.7</v>
      </c>
    </row>
    <row r="53" spans="1:51">
      <c r="A53" s="13" t="str">
        <f t="shared" si="13"/>
        <v>\cite{Gamesa.2017}</v>
      </c>
      <c r="B53" t="s">
        <v>530</v>
      </c>
      <c r="C53">
        <v>2017</v>
      </c>
      <c r="E53" s="13">
        <f t="shared" si="1"/>
        <v>2017</v>
      </c>
      <c r="F53" s="155">
        <f>LOOKUP(E53,Total_wind_installed_capacity!$A$3:$A$34,Total_wind_installed_capacity!$H$3:$H$34)</f>
        <v>530.78719999999998</v>
      </c>
      <c r="J53" s="170">
        <v>2500</v>
      </c>
      <c r="K53">
        <v>1</v>
      </c>
      <c r="L53" s="188">
        <f t="shared" si="2"/>
        <v>2500</v>
      </c>
      <c r="M53" t="s">
        <v>545</v>
      </c>
      <c r="N53" t="s">
        <v>546</v>
      </c>
      <c r="O53">
        <v>114</v>
      </c>
      <c r="S53" s="171">
        <f t="shared" si="3"/>
        <v>0</v>
      </c>
      <c r="U53" s="194">
        <f t="shared" si="4"/>
        <v>0</v>
      </c>
      <c r="W53" s="195">
        <f t="shared" si="5"/>
        <v>0</v>
      </c>
      <c r="AF53" s="171">
        <f t="shared" si="6"/>
        <v>1987118.4</v>
      </c>
      <c r="AH53" s="195">
        <f t="shared" si="7"/>
        <v>0.79484736</v>
      </c>
      <c r="AJ53" s="164">
        <v>0.53</v>
      </c>
      <c r="AK53" s="171">
        <f t="shared" si="8"/>
        <v>11607000</v>
      </c>
      <c r="AM53">
        <v>20</v>
      </c>
      <c r="AN53" s="171">
        <f t="shared" si="9"/>
        <v>232140000</v>
      </c>
      <c r="AO53" s="199">
        <f t="shared" si="10"/>
        <v>92856000</v>
      </c>
      <c r="AR53" s="195"/>
      <c r="AT53" s="195">
        <v>0</v>
      </c>
      <c r="AV53" s="195">
        <f t="shared" si="11"/>
        <v>0</v>
      </c>
      <c r="AY53" s="195">
        <v>8.56</v>
      </c>
    </row>
    <row r="54" spans="1:51">
      <c r="A54" s="13" t="str">
        <f t="shared" si="13"/>
        <v>\cite{Gamesa.2017}</v>
      </c>
      <c r="B54" t="s">
        <v>530</v>
      </c>
      <c r="C54">
        <v>2017</v>
      </c>
      <c r="E54" s="13">
        <f t="shared" si="1"/>
        <v>2017</v>
      </c>
      <c r="F54" s="155">
        <f>LOOKUP(E54,Total_wind_installed_capacity!$A$3:$A$34,Total_wind_installed_capacity!$H$3:$H$34)</f>
        <v>530.78719999999998</v>
      </c>
      <c r="J54" s="170">
        <v>3465</v>
      </c>
      <c r="K54">
        <v>1</v>
      </c>
      <c r="L54" s="188">
        <f t="shared" si="2"/>
        <v>3465</v>
      </c>
      <c r="M54" t="s">
        <v>545</v>
      </c>
      <c r="N54" t="s">
        <v>546</v>
      </c>
      <c r="O54">
        <v>132</v>
      </c>
      <c r="S54" s="171">
        <f t="shared" si="3"/>
        <v>0</v>
      </c>
      <c r="U54" s="194">
        <f t="shared" si="4"/>
        <v>0</v>
      </c>
      <c r="W54" s="195">
        <f t="shared" si="5"/>
        <v>0</v>
      </c>
      <c r="AF54" s="171">
        <f t="shared" si="6"/>
        <v>2667456.7919999999</v>
      </c>
      <c r="AH54" s="195">
        <f t="shared" si="7"/>
        <v>0.76982879999999998</v>
      </c>
      <c r="AJ54" s="164">
        <v>0.52</v>
      </c>
      <c r="AK54" s="171">
        <f t="shared" si="8"/>
        <v>15783768</v>
      </c>
      <c r="AM54">
        <v>20</v>
      </c>
      <c r="AN54" s="171">
        <f t="shared" si="9"/>
        <v>315675360</v>
      </c>
      <c r="AO54" s="199">
        <f t="shared" si="10"/>
        <v>91104000</v>
      </c>
      <c r="AR54" s="195"/>
      <c r="AT54" s="195">
        <v>0</v>
      </c>
      <c r="AV54" s="195">
        <f t="shared" si="11"/>
        <v>0</v>
      </c>
      <c r="AY54" s="195">
        <v>8.4499999999999993</v>
      </c>
    </row>
    <row r="55" spans="1:51">
      <c r="A55" s="13" t="str">
        <f t="shared" si="13"/>
        <v>\cite{Gamesa.2017}</v>
      </c>
      <c r="B55" t="s">
        <v>530</v>
      </c>
      <c r="C55">
        <v>2017</v>
      </c>
      <c r="E55" s="13">
        <f t="shared" si="1"/>
        <v>2017</v>
      </c>
      <c r="F55" s="155">
        <f>LOOKUP(E55,Total_wind_installed_capacity!$A$3:$A$34,Total_wind_installed_capacity!$H$3:$H$34)</f>
        <v>530.78719999999998</v>
      </c>
      <c r="J55" s="170">
        <v>2625</v>
      </c>
      <c r="K55">
        <v>1</v>
      </c>
      <c r="L55" s="188">
        <f t="shared" si="2"/>
        <v>2625</v>
      </c>
      <c r="M55" t="s">
        <v>545</v>
      </c>
      <c r="N55" t="s">
        <v>546</v>
      </c>
      <c r="O55">
        <v>126</v>
      </c>
      <c r="S55" s="171">
        <f t="shared" si="3"/>
        <v>0</v>
      </c>
      <c r="U55" s="194">
        <f t="shared" si="4"/>
        <v>0</v>
      </c>
      <c r="W55" s="195">
        <f t="shared" si="5"/>
        <v>0</v>
      </c>
      <c r="AF55" s="171">
        <f t="shared" si="6"/>
        <v>1949240.16</v>
      </c>
      <c r="AH55" s="195">
        <f t="shared" si="7"/>
        <v>0.74256767999999995</v>
      </c>
      <c r="AJ55" s="164">
        <v>0.48</v>
      </c>
      <c r="AK55" s="171">
        <f t="shared" si="8"/>
        <v>11037600</v>
      </c>
      <c r="AM55">
        <v>20</v>
      </c>
      <c r="AN55" s="171">
        <f t="shared" si="9"/>
        <v>220752000</v>
      </c>
      <c r="AO55" s="199">
        <f t="shared" si="10"/>
        <v>84096000</v>
      </c>
      <c r="AR55" s="195"/>
      <c r="AT55" s="195">
        <v>0</v>
      </c>
      <c r="AV55" s="195">
        <f t="shared" si="11"/>
        <v>0</v>
      </c>
      <c r="AY55" s="195">
        <v>8.83</v>
      </c>
    </row>
    <row r="56" spans="1:51">
      <c r="A56" s="13" t="str">
        <f t="shared" si="13"/>
        <v>\cite{Bonou2016}</v>
      </c>
      <c r="B56" t="s">
        <v>533</v>
      </c>
      <c r="C56">
        <v>2016</v>
      </c>
      <c r="E56" s="13">
        <f t="shared" si="1"/>
        <v>2016</v>
      </c>
      <c r="F56" s="155">
        <f>LOOKUP(E56,Total_wind_installed_capacity!$A$3:$A$34,Total_wind_installed_capacity!$H$3:$H$34)</f>
        <v>480.73440000000005</v>
      </c>
      <c r="J56" s="170">
        <v>2300</v>
      </c>
      <c r="K56">
        <v>1</v>
      </c>
      <c r="L56" s="188">
        <f t="shared" si="2"/>
        <v>2300</v>
      </c>
      <c r="M56" t="s">
        <v>545</v>
      </c>
      <c r="N56" t="s">
        <v>546</v>
      </c>
      <c r="O56">
        <v>108</v>
      </c>
      <c r="S56" s="171">
        <f t="shared" si="3"/>
        <v>0</v>
      </c>
      <c r="U56" s="194">
        <f t="shared" si="4"/>
        <v>0</v>
      </c>
      <c r="W56" s="195">
        <f t="shared" si="5"/>
        <v>0</v>
      </c>
      <c r="AF56" s="171">
        <f t="shared" si="6"/>
        <v>1307605.2</v>
      </c>
      <c r="AH56" s="195">
        <f t="shared" si="7"/>
        <v>0.56852400000000003</v>
      </c>
      <c r="AJ56" s="164">
        <v>0.55000000000000004</v>
      </c>
      <c r="AK56" s="171">
        <f t="shared" si="8"/>
        <v>11081400</v>
      </c>
      <c r="AM56">
        <v>20</v>
      </c>
      <c r="AN56" s="171">
        <f t="shared" si="9"/>
        <v>221628000</v>
      </c>
      <c r="AO56" s="199">
        <f t="shared" si="10"/>
        <v>96360000</v>
      </c>
      <c r="AR56" s="195"/>
      <c r="AT56" s="195">
        <v>0</v>
      </c>
      <c r="AV56" s="195">
        <f t="shared" si="11"/>
        <v>0</v>
      </c>
      <c r="AY56" s="195">
        <v>5.9</v>
      </c>
    </row>
    <row r="57" spans="1:51">
      <c r="A57" s="13" t="str">
        <f t="shared" si="13"/>
        <v>\cite{Bonou2016}</v>
      </c>
      <c r="B57" t="s">
        <v>533</v>
      </c>
      <c r="C57">
        <v>2016</v>
      </c>
      <c r="E57" s="13">
        <f t="shared" si="1"/>
        <v>2016</v>
      </c>
      <c r="F57" s="155">
        <f>LOOKUP(E57,Total_wind_installed_capacity!$A$3:$A$34,Total_wind_installed_capacity!$H$3:$H$34)</f>
        <v>480.73440000000005</v>
      </c>
      <c r="J57" s="170">
        <v>3200</v>
      </c>
      <c r="K57">
        <v>1</v>
      </c>
      <c r="L57" s="188">
        <f t="shared" si="2"/>
        <v>3200</v>
      </c>
      <c r="M57" t="s">
        <v>545</v>
      </c>
      <c r="N57" t="s">
        <v>546</v>
      </c>
      <c r="O57">
        <v>113</v>
      </c>
      <c r="S57" s="171">
        <f t="shared" si="3"/>
        <v>0</v>
      </c>
      <c r="U57" s="194">
        <f t="shared" si="4"/>
        <v>0</v>
      </c>
      <c r="W57" s="195">
        <f t="shared" si="5"/>
        <v>0</v>
      </c>
      <c r="AF57" s="171">
        <f t="shared" si="6"/>
        <v>1429632</v>
      </c>
      <c r="AH57" s="195">
        <f t="shared" si="7"/>
        <v>0.44675999999999999</v>
      </c>
      <c r="AJ57" s="164">
        <v>0.51</v>
      </c>
      <c r="AK57" s="171">
        <f t="shared" si="8"/>
        <v>14296320</v>
      </c>
      <c r="AM57">
        <v>20</v>
      </c>
      <c r="AN57" s="171">
        <f t="shared" si="9"/>
        <v>285926400</v>
      </c>
      <c r="AO57" s="199">
        <f t="shared" si="10"/>
        <v>89352000</v>
      </c>
      <c r="AR57" s="195"/>
      <c r="AT57" s="195">
        <v>0</v>
      </c>
      <c r="AV57" s="195">
        <f t="shared" si="11"/>
        <v>0</v>
      </c>
      <c r="AY57" s="195">
        <v>5</v>
      </c>
    </row>
    <row r="58" spans="1:51">
      <c r="A58" s="13" t="str">
        <f t="shared" si="13"/>
        <v>\cite{Bonou2016}</v>
      </c>
      <c r="B58" t="s">
        <v>533</v>
      </c>
      <c r="C58">
        <v>2016</v>
      </c>
      <c r="E58" s="13">
        <f t="shared" si="1"/>
        <v>2016</v>
      </c>
      <c r="F58" s="155">
        <f>LOOKUP(E58,Total_wind_installed_capacity!$A$3:$A$34,Total_wind_installed_capacity!$H$3:$H$34)</f>
        <v>480.73440000000005</v>
      </c>
      <c r="J58" s="170">
        <v>4000</v>
      </c>
      <c r="K58">
        <v>1</v>
      </c>
      <c r="L58" s="188">
        <f t="shared" si="2"/>
        <v>4000</v>
      </c>
      <c r="M58" t="s">
        <v>545</v>
      </c>
      <c r="N58" t="s">
        <v>547</v>
      </c>
      <c r="O58">
        <v>130</v>
      </c>
      <c r="S58" s="171">
        <f t="shared" si="3"/>
        <v>0</v>
      </c>
      <c r="U58" s="194">
        <f t="shared" si="4"/>
        <v>0</v>
      </c>
      <c r="W58" s="195">
        <f t="shared" si="5"/>
        <v>0</v>
      </c>
      <c r="AF58" s="171">
        <f t="shared" si="6"/>
        <v>4506844.8</v>
      </c>
      <c r="AH58" s="195">
        <f t="shared" si="7"/>
        <v>1.1267111999999999</v>
      </c>
      <c r="AJ58" s="164">
        <v>0.59</v>
      </c>
      <c r="AK58" s="171">
        <f t="shared" si="8"/>
        <v>20673600</v>
      </c>
      <c r="AM58">
        <v>20</v>
      </c>
      <c r="AN58" s="171">
        <f t="shared" si="9"/>
        <v>413472000</v>
      </c>
      <c r="AO58" s="199">
        <f t="shared" si="10"/>
        <v>103368000</v>
      </c>
      <c r="AR58" s="195"/>
      <c r="AT58" s="195">
        <v>0</v>
      </c>
      <c r="AV58" s="195">
        <f t="shared" si="11"/>
        <v>0</v>
      </c>
      <c r="AY58" s="195">
        <v>10.9</v>
      </c>
    </row>
    <row r="59" spans="1:51">
      <c r="A59" s="13" t="str">
        <f t="shared" si="13"/>
        <v>\cite{Bonou2016}</v>
      </c>
      <c r="B59" t="s">
        <v>533</v>
      </c>
      <c r="C59">
        <v>2016</v>
      </c>
      <c r="E59" s="13">
        <f t="shared" si="1"/>
        <v>2016</v>
      </c>
      <c r="F59" s="155">
        <f>LOOKUP(E59,Total_wind_installed_capacity!$A$3:$A$34,Total_wind_installed_capacity!$H$3:$H$34)</f>
        <v>480.73440000000005</v>
      </c>
      <c r="J59" s="170">
        <v>6000</v>
      </c>
      <c r="K59">
        <v>1</v>
      </c>
      <c r="L59" s="188">
        <f t="shared" si="2"/>
        <v>6000</v>
      </c>
      <c r="M59" t="s">
        <v>545</v>
      </c>
      <c r="N59" t="s">
        <v>547</v>
      </c>
      <c r="O59">
        <v>154</v>
      </c>
      <c r="S59" s="171">
        <f t="shared" si="3"/>
        <v>0</v>
      </c>
      <c r="U59" s="194">
        <f t="shared" si="4"/>
        <v>0</v>
      </c>
      <c r="W59" s="195">
        <f t="shared" si="5"/>
        <v>0</v>
      </c>
      <c r="AF59" s="171">
        <f t="shared" si="6"/>
        <v>4837622.4000000004</v>
      </c>
      <c r="AH59" s="195">
        <f t="shared" si="7"/>
        <v>0.80627040000000005</v>
      </c>
      <c r="AJ59" s="164">
        <v>0.59</v>
      </c>
      <c r="AK59" s="171">
        <f t="shared" si="8"/>
        <v>31010400</v>
      </c>
      <c r="AM59">
        <v>20</v>
      </c>
      <c r="AN59" s="171">
        <f t="shared" si="9"/>
        <v>620208000</v>
      </c>
      <c r="AO59" s="199">
        <f t="shared" si="10"/>
        <v>103368000</v>
      </c>
      <c r="AR59" s="195"/>
      <c r="AT59" s="195">
        <v>0</v>
      </c>
      <c r="AV59" s="195">
        <f t="shared" si="11"/>
        <v>0</v>
      </c>
      <c r="AY59" s="195">
        <v>7.8</v>
      </c>
    </row>
    <row r="60" spans="1:51">
      <c r="A60" s="13" t="str">
        <f t="shared" si="13"/>
        <v>\cite{Wernet,2016}</v>
      </c>
      <c r="B60" t="s">
        <v>534</v>
      </c>
      <c r="C60">
        <v>2016</v>
      </c>
      <c r="E60" s="13">
        <f t="shared" si="1"/>
        <v>2016</v>
      </c>
      <c r="F60" s="155">
        <f>LOOKUP(E60,Total_wind_installed_capacity!$A$3:$A$34,Total_wind_installed_capacity!$H$3:$H$34)</f>
        <v>480.73440000000005</v>
      </c>
      <c r="J60" s="170">
        <v>600</v>
      </c>
      <c r="K60">
        <v>1</v>
      </c>
      <c r="L60" s="188">
        <f t="shared" si="2"/>
        <v>600</v>
      </c>
      <c r="M60" t="s">
        <v>545</v>
      </c>
      <c r="N60" t="s">
        <v>546</v>
      </c>
      <c r="S60" s="171">
        <f t="shared" si="3"/>
        <v>0</v>
      </c>
      <c r="U60" s="194">
        <f t="shared" si="4"/>
        <v>0</v>
      </c>
      <c r="W60" s="195">
        <f t="shared" si="5"/>
        <v>0</v>
      </c>
      <c r="AF60" s="171">
        <f t="shared" si="6"/>
        <v>0</v>
      </c>
      <c r="AH60" s="195">
        <f t="shared" si="7"/>
        <v>0</v>
      </c>
      <c r="AJ60" s="164">
        <v>0.14000000000000001</v>
      </c>
      <c r="AK60" s="171">
        <f t="shared" si="8"/>
        <v>735840.00000000012</v>
      </c>
      <c r="AM60">
        <v>20</v>
      </c>
      <c r="AN60" s="171">
        <f t="shared" si="9"/>
        <v>14716800.000000002</v>
      </c>
      <c r="AO60" s="199">
        <f t="shared" si="10"/>
        <v>24528000.000000004</v>
      </c>
      <c r="AR60" s="195"/>
      <c r="AT60" s="195">
        <v>0</v>
      </c>
      <c r="AV60" s="195">
        <f t="shared" si="11"/>
        <v>0</v>
      </c>
      <c r="AY60" s="195"/>
    </row>
    <row r="61" spans="1:51">
      <c r="A61" s="13" t="str">
        <f t="shared" si="13"/>
        <v>\cite{Wernet,2016}</v>
      </c>
      <c r="B61" t="s">
        <v>534</v>
      </c>
      <c r="C61">
        <v>2016</v>
      </c>
      <c r="E61" s="13">
        <f t="shared" si="1"/>
        <v>2016</v>
      </c>
      <c r="F61" s="155">
        <f>LOOKUP(E61,Total_wind_installed_capacity!$A$3:$A$34,Total_wind_installed_capacity!$H$3:$H$34)</f>
        <v>480.73440000000005</v>
      </c>
      <c r="J61" s="170">
        <v>750</v>
      </c>
      <c r="K61">
        <v>1</v>
      </c>
      <c r="L61" s="188">
        <f t="shared" si="2"/>
        <v>750</v>
      </c>
      <c r="M61" t="s">
        <v>545</v>
      </c>
      <c r="N61" t="s">
        <v>546</v>
      </c>
      <c r="S61" s="171">
        <f t="shared" si="3"/>
        <v>0</v>
      </c>
      <c r="U61" s="194">
        <f t="shared" si="4"/>
        <v>0</v>
      </c>
      <c r="W61" s="195">
        <f t="shared" si="5"/>
        <v>0</v>
      </c>
      <c r="AF61" s="171">
        <f t="shared" si="6"/>
        <v>606910.31999999995</v>
      </c>
      <c r="AH61" s="195">
        <f t="shared" si="7"/>
        <v>0.80921376</v>
      </c>
      <c r="AJ61" s="164">
        <v>0.18</v>
      </c>
      <c r="AK61" s="171">
        <f t="shared" si="8"/>
        <v>1182600</v>
      </c>
      <c r="AM61">
        <v>20</v>
      </c>
      <c r="AN61" s="171">
        <f t="shared" si="9"/>
        <v>23652000</v>
      </c>
      <c r="AO61" s="199">
        <f t="shared" si="10"/>
        <v>31536000</v>
      </c>
      <c r="AR61" s="195"/>
      <c r="AT61" s="195">
        <v>0</v>
      </c>
      <c r="AV61" s="195">
        <f t="shared" si="11"/>
        <v>0</v>
      </c>
      <c r="AY61" s="195">
        <v>25.66</v>
      </c>
    </row>
    <row r="62" spans="1:51">
      <c r="A62" s="13" t="str">
        <f t="shared" si="13"/>
        <v>\cite{Wernet,2016}</v>
      </c>
      <c r="B62" t="s">
        <v>534</v>
      </c>
      <c r="C62">
        <v>2016</v>
      </c>
      <c r="E62" s="13">
        <f t="shared" si="1"/>
        <v>2016</v>
      </c>
      <c r="F62" s="155">
        <f>LOOKUP(E62,Total_wind_installed_capacity!$A$3:$A$34,Total_wind_installed_capacity!$H$3:$H$34)</f>
        <v>480.73440000000005</v>
      </c>
      <c r="J62" s="170">
        <v>2000</v>
      </c>
      <c r="K62">
        <v>1</v>
      </c>
      <c r="L62" s="188">
        <f t="shared" si="2"/>
        <v>2000</v>
      </c>
      <c r="M62" t="s">
        <v>545</v>
      </c>
      <c r="N62" t="s">
        <v>547</v>
      </c>
      <c r="S62" s="171">
        <f t="shared" si="3"/>
        <v>0</v>
      </c>
      <c r="U62" s="194">
        <f t="shared" si="4"/>
        <v>0</v>
      </c>
      <c r="W62" s="195">
        <f t="shared" si="5"/>
        <v>0</v>
      </c>
      <c r="AF62" s="171">
        <f t="shared" si="6"/>
        <v>954489.6</v>
      </c>
      <c r="AH62" s="195">
        <f t="shared" si="7"/>
        <v>0.47724480000000002</v>
      </c>
      <c r="AJ62" s="164">
        <v>0.3</v>
      </c>
      <c r="AK62" s="171">
        <f t="shared" si="8"/>
        <v>5256000</v>
      </c>
      <c r="AM62">
        <v>20</v>
      </c>
      <c r="AN62" s="171">
        <f t="shared" si="9"/>
        <v>105120000</v>
      </c>
      <c r="AO62" s="199">
        <f t="shared" si="10"/>
        <v>52560000</v>
      </c>
      <c r="AR62" s="195"/>
      <c r="AT62" s="195">
        <v>0</v>
      </c>
      <c r="AV62" s="195">
        <f t="shared" si="11"/>
        <v>0</v>
      </c>
      <c r="AY62" s="195">
        <v>9.08</v>
      </c>
    </row>
    <row r="63" spans="1:51">
      <c r="A63" s="13" t="str">
        <f t="shared" si="13"/>
        <v>\cite{Wernet,2016}</v>
      </c>
      <c r="B63" t="s">
        <v>534</v>
      </c>
      <c r="C63">
        <v>2016</v>
      </c>
      <c r="E63" s="13">
        <f t="shared" si="1"/>
        <v>2016</v>
      </c>
      <c r="F63" s="155">
        <f>LOOKUP(E63,Total_wind_installed_capacity!$A$3:$A$34,Total_wind_installed_capacity!$H$3:$H$34)</f>
        <v>480.73440000000005</v>
      </c>
      <c r="J63" s="170">
        <v>2000</v>
      </c>
      <c r="K63">
        <v>1</v>
      </c>
      <c r="L63" s="188">
        <f t="shared" si="2"/>
        <v>2000</v>
      </c>
      <c r="M63" t="s">
        <v>545</v>
      </c>
      <c r="N63" t="s">
        <v>547</v>
      </c>
      <c r="S63" s="171">
        <f t="shared" si="3"/>
        <v>0</v>
      </c>
      <c r="U63" s="194">
        <f t="shared" si="4"/>
        <v>0</v>
      </c>
      <c r="W63" s="195">
        <f t="shared" si="5"/>
        <v>0</v>
      </c>
      <c r="AF63" s="171">
        <f t="shared" si="6"/>
        <v>816782.4</v>
      </c>
      <c r="AH63" s="195">
        <f t="shared" si="7"/>
        <v>0.40839120000000001</v>
      </c>
      <c r="AJ63" s="164">
        <v>0.3</v>
      </c>
      <c r="AK63" s="171">
        <f t="shared" si="8"/>
        <v>5256000</v>
      </c>
      <c r="AM63">
        <v>20</v>
      </c>
      <c r="AN63" s="171">
        <f t="shared" si="9"/>
        <v>105120000</v>
      </c>
      <c r="AO63" s="199">
        <f t="shared" si="10"/>
        <v>52560000</v>
      </c>
      <c r="AR63" s="195"/>
      <c r="AT63" s="195">
        <v>0</v>
      </c>
      <c r="AV63" s="195">
        <f t="shared" si="11"/>
        <v>0</v>
      </c>
      <c r="AY63" s="195">
        <v>7.77</v>
      </c>
    </row>
    <row r="64" spans="1:51">
      <c r="A64" s="13" t="str">
        <f t="shared" si="13"/>
        <v>\cite{Wernet,2016}</v>
      </c>
      <c r="B64" t="s">
        <v>534</v>
      </c>
      <c r="C64">
        <v>2016</v>
      </c>
      <c r="E64" s="13">
        <f t="shared" si="1"/>
        <v>2016</v>
      </c>
      <c r="F64" s="155">
        <f>LOOKUP(E64,Total_wind_installed_capacity!$A$3:$A$34,Total_wind_installed_capacity!$H$3:$H$34)</f>
        <v>480.73440000000005</v>
      </c>
      <c r="J64" s="170">
        <v>2000</v>
      </c>
      <c r="K64">
        <v>1</v>
      </c>
      <c r="L64" s="188">
        <f t="shared" si="2"/>
        <v>2000</v>
      </c>
      <c r="M64" t="s">
        <v>545</v>
      </c>
      <c r="N64" t="s">
        <v>546</v>
      </c>
      <c r="S64" s="171">
        <f t="shared" si="3"/>
        <v>0</v>
      </c>
      <c r="U64" s="194">
        <f t="shared" si="4"/>
        <v>0</v>
      </c>
      <c r="W64" s="195">
        <f t="shared" si="5"/>
        <v>0</v>
      </c>
      <c r="AF64" s="171">
        <f t="shared" si="6"/>
        <v>1341331.2</v>
      </c>
      <c r="AH64" s="195">
        <f t="shared" si="7"/>
        <v>0.67066559999999997</v>
      </c>
      <c r="AJ64" s="164">
        <v>0.3</v>
      </c>
      <c r="AK64" s="171">
        <f t="shared" si="8"/>
        <v>5256000</v>
      </c>
      <c r="AM64">
        <v>20</v>
      </c>
      <c r="AN64" s="171">
        <f t="shared" si="9"/>
        <v>105120000</v>
      </c>
      <c r="AO64" s="199">
        <f t="shared" si="10"/>
        <v>52560000</v>
      </c>
      <c r="AR64" s="195"/>
      <c r="AT64" s="195">
        <v>0</v>
      </c>
      <c r="AV64" s="195">
        <f t="shared" si="11"/>
        <v>0</v>
      </c>
      <c r="AY64" s="195">
        <v>12.76</v>
      </c>
    </row>
    <row r="65" spans="1:51">
      <c r="A65" s="13" t="str">
        <f t="shared" ref="A65:A94" si="14">CONCATENATE("\cite{",B65,C65,"}")</f>
        <v>\cite{Wernet,2016}</v>
      </c>
      <c r="B65" t="s">
        <v>534</v>
      </c>
      <c r="C65">
        <v>2016</v>
      </c>
      <c r="E65" s="13">
        <f t="shared" si="1"/>
        <v>2016</v>
      </c>
      <c r="F65" s="155">
        <f>LOOKUP(E65,Total_wind_installed_capacity!$A$3:$A$34,Total_wind_installed_capacity!$H$3:$H$34)</f>
        <v>480.73440000000005</v>
      </c>
      <c r="J65" s="170">
        <v>2300</v>
      </c>
      <c r="K65">
        <v>1</v>
      </c>
      <c r="L65" s="188">
        <f t="shared" si="2"/>
        <v>2300</v>
      </c>
      <c r="M65" t="s">
        <v>545</v>
      </c>
      <c r="N65" t="s">
        <v>546</v>
      </c>
      <c r="S65" s="171">
        <f t="shared" si="3"/>
        <v>0</v>
      </c>
      <c r="U65" s="194">
        <f t="shared" si="4"/>
        <v>0</v>
      </c>
      <c r="W65" s="195">
        <f t="shared" si="5"/>
        <v>0</v>
      </c>
      <c r="AF65" s="171">
        <f t="shared" si="6"/>
        <v>1278995.04</v>
      </c>
      <c r="AH65" s="195">
        <f t="shared" si="7"/>
        <v>0.55608479999999993</v>
      </c>
      <c r="AJ65" s="164">
        <v>0.3</v>
      </c>
      <c r="AK65" s="171">
        <f t="shared" si="8"/>
        <v>6044400</v>
      </c>
      <c r="AM65">
        <v>20</v>
      </c>
      <c r="AN65" s="171">
        <f t="shared" si="9"/>
        <v>120888000</v>
      </c>
      <c r="AO65" s="199">
        <f t="shared" si="10"/>
        <v>52560000</v>
      </c>
      <c r="AR65" s="195"/>
      <c r="AT65" s="195">
        <v>0</v>
      </c>
      <c r="AV65" s="195">
        <f t="shared" si="11"/>
        <v>0</v>
      </c>
      <c r="AY65" s="195">
        <v>10.58</v>
      </c>
    </row>
    <row r="66" spans="1:51">
      <c r="A66" s="13" t="str">
        <f t="shared" si="14"/>
        <v>\cite{Wernet,2016}</v>
      </c>
      <c r="B66" t="s">
        <v>534</v>
      </c>
      <c r="C66">
        <v>2016</v>
      </c>
      <c r="E66" s="13">
        <f t="shared" ref="E66:E126" si="15">IF(D66&gt;0,D66,C66)</f>
        <v>2016</v>
      </c>
      <c r="F66" s="155">
        <f>LOOKUP(E66,Total_wind_installed_capacity!$A$3:$A$34,Total_wind_installed_capacity!$H$3:$H$34)</f>
        <v>480.73440000000005</v>
      </c>
      <c r="J66" s="170">
        <v>4500</v>
      </c>
      <c r="K66">
        <v>1</v>
      </c>
      <c r="L66" s="188">
        <f t="shared" ref="L66:L126" si="16">K66*J66</f>
        <v>4500</v>
      </c>
      <c r="M66" t="s">
        <v>545</v>
      </c>
      <c r="N66" t="s">
        <v>546</v>
      </c>
      <c r="S66" s="171">
        <f t="shared" si="3"/>
        <v>0</v>
      </c>
      <c r="U66" s="194">
        <f t="shared" si="4"/>
        <v>0</v>
      </c>
      <c r="W66" s="195">
        <f t="shared" si="5"/>
        <v>0</v>
      </c>
      <c r="AF66" s="171">
        <f t="shared" si="6"/>
        <v>2556781.2000000002</v>
      </c>
      <c r="AH66" s="195">
        <f t="shared" si="7"/>
        <v>0.56817360000000006</v>
      </c>
      <c r="AJ66" s="164">
        <v>0.3</v>
      </c>
      <c r="AK66" s="171">
        <f t="shared" ref="AK66:AK126" si="17">L66*AJ66*8760</f>
        <v>11826000</v>
      </c>
      <c r="AM66">
        <v>20</v>
      </c>
      <c r="AN66" s="171">
        <f t="shared" ref="AN66:AN126" si="18">AK66*AM66</f>
        <v>236520000</v>
      </c>
      <c r="AO66" s="199">
        <f t="shared" si="10"/>
        <v>52560000</v>
      </c>
      <c r="AR66" s="195"/>
      <c r="AT66" s="195">
        <v>0</v>
      </c>
      <c r="AV66" s="195">
        <f t="shared" si="11"/>
        <v>0</v>
      </c>
      <c r="AY66" s="195">
        <v>10.81</v>
      </c>
    </row>
    <row r="67" spans="1:51">
      <c r="A67" s="13" t="str">
        <f t="shared" si="14"/>
        <v>\cite{Wernet,2016}</v>
      </c>
      <c r="B67" t="s">
        <v>534</v>
      </c>
      <c r="C67">
        <v>2016</v>
      </c>
      <c r="E67" s="13">
        <f t="shared" si="15"/>
        <v>2016</v>
      </c>
      <c r="F67" s="155">
        <f>LOOKUP(E67,Total_wind_installed_capacity!$A$3:$A$34,Total_wind_installed_capacity!$H$3:$H$34)</f>
        <v>480.73440000000005</v>
      </c>
      <c r="J67" s="170">
        <v>2000</v>
      </c>
      <c r="K67">
        <v>1</v>
      </c>
      <c r="L67" s="188">
        <f t="shared" si="16"/>
        <v>2000</v>
      </c>
      <c r="M67" t="s">
        <v>545</v>
      </c>
      <c r="N67" t="s">
        <v>547</v>
      </c>
      <c r="S67" s="171">
        <f t="shared" ref="S67:S130" si="19">AT67*AN67</f>
        <v>0</v>
      </c>
      <c r="U67" s="194">
        <f t="shared" ref="U67:U130" si="20">S67/3.6</f>
        <v>0</v>
      </c>
      <c r="W67" s="195">
        <f t="shared" ref="W67:W130" si="21">S67/L67/1000</f>
        <v>0</v>
      </c>
      <c r="AF67" s="171">
        <f t="shared" ref="AF67:AF130" si="22">AY67*AN67/1000</f>
        <v>1429632</v>
      </c>
      <c r="AH67" s="195">
        <f t="shared" ref="AH67:AH130" si="23">AF67/L67/1000</f>
        <v>0.71481600000000001</v>
      </c>
      <c r="AJ67" s="164">
        <v>0.3</v>
      </c>
      <c r="AK67" s="171">
        <f t="shared" si="17"/>
        <v>5256000</v>
      </c>
      <c r="AM67">
        <v>20</v>
      </c>
      <c r="AN67" s="171">
        <f t="shared" si="18"/>
        <v>105120000</v>
      </c>
      <c r="AO67" s="199">
        <f t="shared" ref="AO67:AO130" si="24">AN67/L67*1000</f>
        <v>52560000</v>
      </c>
      <c r="AR67" s="195"/>
      <c r="AT67" s="195">
        <v>0</v>
      </c>
      <c r="AV67" s="195">
        <f t="shared" ref="AV67:AV130" si="25">AT67/3.6</f>
        <v>0</v>
      </c>
      <c r="AY67" s="195">
        <v>13.6</v>
      </c>
    </row>
    <row r="68" spans="1:51">
      <c r="A68" s="13" t="str">
        <f t="shared" si="14"/>
        <v>\cite{Al-Behadili2015}</v>
      </c>
      <c r="B68" t="s">
        <v>271</v>
      </c>
      <c r="C68">
        <v>2015</v>
      </c>
      <c r="E68" s="13">
        <f t="shared" si="15"/>
        <v>2015</v>
      </c>
      <c r="F68" s="155">
        <f>LOOKUP(E68,Total_wind_installed_capacity!$A$3:$A$34,Total_wind_installed_capacity!$H$3:$H$34)</f>
        <v>427.65899999999999</v>
      </c>
      <c r="J68" s="170">
        <v>1650</v>
      </c>
      <c r="K68">
        <v>1</v>
      </c>
      <c r="L68" s="188">
        <f t="shared" si="16"/>
        <v>1650</v>
      </c>
      <c r="M68" t="s">
        <v>545</v>
      </c>
      <c r="N68" t="s">
        <v>546</v>
      </c>
      <c r="O68">
        <v>82</v>
      </c>
      <c r="S68" s="171">
        <f t="shared" si="19"/>
        <v>0</v>
      </c>
      <c r="U68" s="194">
        <f t="shared" si="20"/>
        <v>0</v>
      </c>
      <c r="W68" s="195">
        <f t="shared" si="21"/>
        <v>0</v>
      </c>
      <c r="AF68" s="171">
        <f t="shared" si="22"/>
        <v>0</v>
      </c>
      <c r="AH68" s="195">
        <f t="shared" si="23"/>
        <v>0</v>
      </c>
      <c r="AJ68" s="164">
        <v>0.35</v>
      </c>
      <c r="AK68" s="171">
        <f t="shared" si="17"/>
        <v>5058900</v>
      </c>
      <c r="AN68" s="171">
        <f t="shared" si="18"/>
        <v>0</v>
      </c>
      <c r="AO68" s="199">
        <f t="shared" si="24"/>
        <v>0</v>
      </c>
      <c r="AR68" s="195">
        <f t="shared" ref="AR68:AR124" si="26">1/AV68</f>
        <v>40</v>
      </c>
      <c r="AT68" s="195">
        <v>0.09</v>
      </c>
      <c r="AV68" s="195">
        <f t="shared" si="25"/>
        <v>2.4999999999999998E-2</v>
      </c>
      <c r="AY68" s="195">
        <v>10.42</v>
      </c>
    </row>
    <row r="69" spans="1:51">
      <c r="A69" s="13" t="str">
        <f t="shared" si="14"/>
        <v>\cite{Martínez2015}</v>
      </c>
      <c r="B69" t="s">
        <v>429</v>
      </c>
      <c r="C69">
        <v>2015</v>
      </c>
      <c r="E69" s="13">
        <f t="shared" si="15"/>
        <v>2015</v>
      </c>
      <c r="F69" s="155">
        <f>LOOKUP(E69,Total_wind_installed_capacity!$A$3:$A$34,Total_wind_installed_capacity!$H$3:$H$34)</f>
        <v>427.65899999999999</v>
      </c>
      <c r="J69" s="170">
        <v>2000</v>
      </c>
      <c r="K69">
        <v>1</v>
      </c>
      <c r="L69" s="188">
        <f t="shared" si="16"/>
        <v>2000</v>
      </c>
      <c r="M69" t="s">
        <v>545</v>
      </c>
      <c r="N69" t="s">
        <v>546</v>
      </c>
      <c r="O69">
        <v>80</v>
      </c>
      <c r="S69" s="171">
        <f t="shared" si="19"/>
        <v>8059200</v>
      </c>
      <c r="U69" s="194">
        <f t="shared" si="20"/>
        <v>2238666.6666666665</v>
      </c>
      <c r="W69" s="195">
        <f t="shared" si="21"/>
        <v>4.0296000000000003</v>
      </c>
      <c r="AF69" s="171">
        <f t="shared" si="22"/>
        <v>150707.04</v>
      </c>
      <c r="AH69" s="195">
        <f t="shared" si="23"/>
        <v>7.5353520000000007E-2</v>
      </c>
      <c r="AJ69" s="164">
        <v>0.23</v>
      </c>
      <c r="AK69" s="171">
        <f t="shared" si="17"/>
        <v>4029600</v>
      </c>
      <c r="AM69">
        <v>20</v>
      </c>
      <c r="AN69" s="171">
        <f t="shared" si="18"/>
        <v>80592000</v>
      </c>
      <c r="AO69" s="199">
        <f t="shared" si="24"/>
        <v>40296000</v>
      </c>
      <c r="AR69" s="195">
        <f t="shared" si="26"/>
        <v>36</v>
      </c>
      <c r="AT69" s="195">
        <v>0.1</v>
      </c>
      <c r="AV69" s="195">
        <f t="shared" si="25"/>
        <v>2.777777777777778E-2</v>
      </c>
      <c r="AY69" s="195">
        <v>1.87</v>
      </c>
    </row>
    <row r="70" spans="1:51">
      <c r="A70" s="13" t="str">
        <f t="shared" si="14"/>
        <v>\cite{Vestas.2015}</v>
      </c>
      <c r="B70" t="s">
        <v>532</v>
      </c>
      <c r="C70">
        <v>2015</v>
      </c>
      <c r="E70" s="13">
        <f t="shared" si="15"/>
        <v>2015</v>
      </c>
      <c r="F70" s="155">
        <f>LOOKUP(E70,Total_wind_installed_capacity!$A$3:$A$34,Total_wind_installed_capacity!$H$3:$H$34)</f>
        <v>427.65899999999999</v>
      </c>
      <c r="J70" s="170">
        <v>2000</v>
      </c>
      <c r="K70">
        <v>1</v>
      </c>
      <c r="L70" s="188">
        <f t="shared" si="16"/>
        <v>2000</v>
      </c>
      <c r="M70" t="s">
        <v>545</v>
      </c>
      <c r="N70" t="s">
        <v>546</v>
      </c>
      <c r="O70">
        <v>100</v>
      </c>
      <c r="S70" s="171">
        <f t="shared" si="19"/>
        <v>13175040</v>
      </c>
      <c r="U70" s="194">
        <f t="shared" si="20"/>
        <v>3659733.333333333</v>
      </c>
      <c r="W70" s="195">
        <f t="shared" si="21"/>
        <v>6.5875200000000005</v>
      </c>
      <c r="AF70" s="171">
        <f t="shared" si="22"/>
        <v>1021065.6</v>
      </c>
      <c r="AH70" s="195">
        <f t="shared" si="23"/>
        <v>0.51053280000000001</v>
      </c>
      <c r="AJ70" s="164">
        <v>0.47</v>
      </c>
      <c r="AK70" s="171">
        <f t="shared" si="17"/>
        <v>8234400</v>
      </c>
      <c r="AM70">
        <v>20</v>
      </c>
      <c r="AN70" s="171">
        <f t="shared" si="18"/>
        <v>164688000</v>
      </c>
      <c r="AO70" s="199">
        <f t="shared" si="24"/>
        <v>82344000</v>
      </c>
      <c r="AR70" s="195">
        <f t="shared" si="26"/>
        <v>45</v>
      </c>
      <c r="AT70" s="195">
        <v>0.08</v>
      </c>
      <c r="AV70" s="195">
        <f t="shared" si="25"/>
        <v>2.2222222222222223E-2</v>
      </c>
      <c r="AY70" s="195">
        <v>6.2</v>
      </c>
    </row>
    <row r="71" spans="1:51">
      <c r="A71" s="13" t="str">
        <f t="shared" si="14"/>
        <v>\cite{Razdan2015}</v>
      </c>
      <c r="B71" t="s">
        <v>535</v>
      </c>
      <c r="C71">
        <v>2015</v>
      </c>
      <c r="E71" s="13">
        <f t="shared" si="15"/>
        <v>2015</v>
      </c>
      <c r="F71" s="155">
        <f>LOOKUP(E71,Total_wind_installed_capacity!$A$3:$A$34,Total_wind_installed_capacity!$H$3:$H$34)</f>
        <v>427.65899999999999</v>
      </c>
      <c r="J71" s="170">
        <v>2000</v>
      </c>
      <c r="K71">
        <v>1</v>
      </c>
      <c r="L71" s="188">
        <f t="shared" si="16"/>
        <v>2000</v>
      </c>
      <c r="M71" t="s">
        <v>545</v>
      </c>
      <c r="N71" t="s">
        <v>546</v>
      </c>
      <c r="O71">
        <v>110</v>
      </c>
      <c r="S71" s="171">
        <f t="shared" si="19"/>
        <v>0</v>
      </c>
      <c r="U71" s="194">
        <f t="shared" si="20"/>
        <v>0</v>
      </c>
      <c r="W71" s="195">
        <f t="shared" si="21"/>
        <v>0</v>
      </c>
      <c r="AF71" s="171">
        <f t="shared" si="22"/>
        <v>1084838.3999999999</v>
      </c>
      <c r="AH71" s="195">
        <f t="shared" si="23"/>
        <v>0.54241919999999988</v>
      </c>
      <c r="AJ71" s="164">
        <v>0.43</v>
      </c>
      <c r="AK71" s="171">
        <f t="shared" si="17"/>
        <v>7533600</v>
      </c>
      <c r="AM71">
        <v>20</v>
      </c>
      <c r="AN71" s="171">
        <f t="shared" si="18"/>
        <v>150672000</v>
      </c>
      <c r="AO71" s="199">
        <f t="shared" si="24"/>
        <v>75336000</v>
      </c>
      <c r="AR71" s="195"/>
      <c r="AT71" s="195">
        <v>0</v>
      </c>
      <c r="AV71" s="195">
        <f t="shared" si="25"/>
        <v>0</v>
      </c>
      <c r="AY71" s="195">
        <v>7.2</v>
      </c>
    </row>
    <row r="72" spans="1:51">
      <c r="A72" s="13" t="str">
        <f t="shared" si="14"/>
        <v>\cite{Vestas.2015}</v>
      </c>
      <c r="B72" t="s">
        <v>532</v>
      </c>
      <c r="C72">
        <v>2015</v>
      </c>
      <c r="E72" s="13">
        <f t="shared" si="15"/>
        <v>2015</v>
      </c>
      <c r="F72" s="155">
        <f>LOOKUP(E72,Total_wind_installed_capacity!$A$3:$A$34,Total_wind_installed_capacity!$H$3:$H$34)</f>
        <v>427.65899999999999</v>
      </c>
      <c r="J72" s="170">
        <v>3300</v>
      </c>
      <c r="K72">
        <v>1</v>
      </c>
      <c r="L72" s="188">
        <f t="shared" si="16"/>
        <v>3300</v>
      </c>
      <c r="M72" t="s">
        <v>545</v>
      </c>
      <c r="N72" t="s">
        <v>546</v>
      </c>
      <c r="O72">
        <v>112</v>
      </c>
      <c r="S72" s="171">
        <f t="shared" si="19"/>
        <v>0</v>
      </c>
      <c r="U72" s="194">
        <f t="shared" si="20"/>
        <v>0</v>
      </c>
      <c r="W72" s="195">
        <f t="shared" si="21"/>
        <v>0</v>
      </c>
      <c r="AF72" s="171">
        <f t="shared" si="22"/>
        <v>1676664</v>
      </c>
      <c r="AH72" s="195">
        <f t="shared" si="23"/>
        <v>0.50807999999999998</v>
      </c>
      <c r="AJ72" s="164">
        <v>0.5</v>
      </c>
      <c r="AK72" s="171">
        <f t="shared" si="17"/>
        <v>14454000</v>
      </c>
      <c r="AM72">
        <v>20</v>
      </c>
      <c r="AN72" s="171">
        <f t="shared" si="18"/>
        <v>289080000</v>
      </c>
      <c r="AO72" s="199">
        <f t="shared" si="24"/>
        <v>87600000</v>
      </c>
      <c r="AR72" s="195"/>
      <c r="AT72" s="195">
        <v>0</v>
      </c>
      <c r="AV72" s="195">
        <f t="shared" si="25"/>
        <v>0</v>
      </c>
      <c r="AY72" s="195">
        <v>5.8</v>
      </c>
    </row>
    <row r="73" spans="1:51">
      <c r="A73" s="13" t="str">
        <f t="shared" si="14"/>
        <v>\cite{Haapala2014}</v>
      </c>
      <c r="B73" t="s">
        <v>536</v>
      </c>
      <c r="C73">
        <v>2014</v>
      </c>
      <c r="E73" s="13">
        <f t="shared" si="15"/>
        <v>2014</v>
      </c>
      <c r="F73" s="155">
        <f>LOOKUP(E73,Total_wind_installed_capacity!$A$3:$A$34,Total_wind_installed_capacity!$H$3:$H$34)</f>
        <v>360.68525</v>
      </c>
      <c r="J73" s="170">
        <v>2000</v>
      </c>
      <c r="K73">
        <v>1</v>
      </c>
      <c r="L73" s="188">
        <f t="shared" si="16"/>
        <v>2000</v>
      </c>
      <c r="M73" t="s">
        <v>545</v>
      </c>
      <c r="N73" t="s">
        <v>546</v>
      </c>
      <c r="S73" s="171">
        <f t="shared" si="19"/>
        <v>12614400</v>
      </c>
      <c r="U73" s="194">
        <f t="shared" si="20"/>
        <v>3504000</v>
      </c>
      <c r="W73" s="195">
        <f t="shared" si="21"/>
        <v>6.3071999999999999</v>
      </c>
      <c r="AF73" s="171">
        <f t="shared" si="22"/>
        <v>2929344</v>
      </c>
      <c r="AH73" s="195">
        <f t="shared" si="23"/>
        <v>1.464672</v>
      </c>
      <c r="AJ73" s="164">
        <v>0.4</v>
      </c>
      <c r="AK73" s="171">
        <f t="shared" si="17"/>
        <v>7008000</v>
      </c>
      <c r="AM73">
        <v>20</v>
      </c>
      <c r="AN73" s="171">
        <f t="shared" si="18"/>
        <v>140160000</v>
      </c>
      <c r="AO73" s="199">
        <f t="shared" si="24"/>
        <v>70080000</v>
      </c>
      <c r="AR73" s="195">
        <f t="shared" si="26"/>
        <v>40</v>
      </c>
      <c r="AT73" s="195">
        <v>0.09</v>
      </c>
      <c r="AV73" s="195">
        <f t="shared" si="25"/>
        <v>2.4999999999999998E-2</v>
      </c>
      <c r="AY73" s="195">
        <v>20.9</v>
      </c>
    </row>
    <row r="74" spans="1:51">
      <c r="A74" s="13" t="str">
        <f t="shared" si="14"/>
        <v>\cite{Haapala2014}</v>
      </c>
      <c r="B74" t="s">
        <v>536</v>
      </c>
      <c r="C74">
        <v>2014</v>
      </c>
      <c r="E74" s="13">
        <f t="shared" si="15"/>
        <v>2014</v>
      </c>
      <c r="F74" s="155">
        <f>LOOKUP(E74,Total_wind_installed_capacity!$A$3:$A$34,Total_wind_installed_capacity!$H$3:$H$34)</f>
        <v>360.68525</v>
      </c>
      <c r="J74" s="170">
        <v>2000</v>
      </c>
      <c r="K74">
        <v>1</v>
      </c>
      <c r="L74" s="188">
        <f t="shared" si="16"/>
        <v>2000</v>
      </c>
      <c r="M74" t="s">
        <v>545</v>
      </c>
      <c r="N74" t="s">
        <v>546</v>
      </c>
      <c r="S74" s="171">
        <f t="shared" si="19"/>
        <v>18220800</v>
      </c>
      <c r="U74" s="194">
        <f t="shared" si="20"/>
        <v>5061333.333333333</v>
      </c>
      <c r="W74" s="195">
        <f t="shared" si="21"/>
        <v>9.1104000000000003</v>
      </c>
      <c r="AF74" s="171">
        <f t="shared" si="22"/>
        <v>4401024</v>
      </c>
      <c r="AH74" s="195">
        <f t="shared" si="23"/>
        <v>2.2005120000000002</v>
      </c>
      <c r="AJ74" s="164">
        <v>0.4</v>
      </c>
      <c r="AK74" s="171">
        <f t="shared" si="17"/>
        <v>7008000</v>
      </c>
      <c r="AM74">
        <v>20</v>
      </c>
      <c r="AN74" s="171">
        <f t="shared" si="18"/>
        <v>140160000</v>
      </c>
      <c r="AO74" s="199">
        <f t="shared" si="24"/>
        <v>70080000</v>
      </c>
      <c r="AR74" s="195">
        <f t="shared" si="26"/>
        <v>27.69230769230769</v>
      </c>
      <c r="AT74" s="195">
        <v>0.13</v>
      </c>
      <c r="AV74" s="195">
        <f t="shared" si="25"/>
        <v>3.6111111111111115E-2</v>
      </c>
      <c r="AY74" s="195">
        <v>31.4</v>
      </c>
    </row>
    <row r="75" spans="1:51">
      <c r="A75" s="13" t="str">
        <f t="shared" si="14"/>
        <v>\cite{Raadal2014}</v>
      </c>
      <c r="B75" t="s">
        <v>537</v>
      </c>
      <c r="C75">
        <v>2014</v>
      </c>
      <c r="E75" s="13">
        <f t="shared" si="15"/>
        <v>2014</v>
      </c>
      <c r="F75" s="155">
        <f>LOOKUP(E75,Total_wind_installed_capacity!$A$3:$A$34,Total_wind_installed_capacity!$H$3:$H$34)</f>
        <v>360.68525</v>
      </c>
      <c r="J75" s="170">
        <v>5000</v>
      </c>
      <c r="K75">
        <v>1</v>
      </c>
      <c r="L75" s="188">
        <f t="shared" si="16"/>
        <v>5000</v>
      </c>
      <c r="M75" t="s">
        <v>545</v>
      </c>
      <c r="N75" t="s">
        <v>547</v>
      </c>
      <c r="O75">
        <v>126</v>
      </c>
      <c r="Q75" t="s">
        <v>553</v>
      </c>
      <c r="S75" s="171">
        <f t="shared" si="19"/>
        <v>44325600</v>
      </c>
      <c r="U75" s="194">
        <f t="shared" si="20"/>
        <v>12312666.666666666</v>
      </c>
      <c r="W75" s="195">
        <f t="shared" si="21"/>
        <v>8.865120000000001</v>
      </c>
      <c r="AF75" s="171">
        <f t="shared" si="22"/>
        <v>10194888</v>
      </c>
      <c r="AH75" s="195">
        <f t="shared" si="23"/>
        <v>2.0389775999999999</v>
      </c>
      <c r="AJ75" s="164">
        <v>0.46</v>
      </c>
      <c r="AK75" s="171">
        <f t="shared" si="17"/>
        <v>20148000</v>
      </c>
      <c r="AM75">
        <v>20</v>
      </c>
      <c r="AN75" s="171">
        <f t="shared" si="18"/>
        <v>402960000</v>
      </c>
      <c r="AO75" s="199">
        <f t="shared" si="24"/>
        <v>80592000</v>
      </c>
      <c r="AR75" s="195">
        <f t="shared" si="26"/>
        <v>32.727272727272727</v>
      </c>
      <c r="AT75" s="195">
        <v>0.11</v>
      </c>
      <c r="AV75" s="195">
        <f t="shared" si="25"/>
        <v>3.0555555555555555E-2</v>
      </c>
      <c r="AY75" s="195">
        <v>25.3</v>
      </c>
    </row>
    <row r="76" spans="1:51">
      <c r="A76" s="13" t="str">
        <f t="shared" si="14"/>
        <v>\cite{Raadal2014}</v>
      </c>
      <c r="B76" t="s">
        <v>537</v>
      </c>
      <c r="C76">
        <v>2014</v>
      </c>
      <c r="E76" s="13">
        <f t="shared" si="15"/>
        <v>2014</v>
      </c>
      <c r="F76" s="155">
        <f>LOOKUP(E76,Total_wind_installed_capacity!$A$3:$A$34,Total_wind_installed_capacity!$H$3:$H$34)</f>
        <v>360.68525</v>
      </c>
      <c r="J76" s="170">
        <v>5000</v>
      </c>
      <c r="K76">
        <v>1</v>
      </c>
      <c r="L76" s="188">
        <f t="shared" si="16"/>
        <v>5000</v>
      </c>
      <c r="M76" t="s">
        <v>545</v>
      </c>
      <c r="N76" t="s">
        <v>547</v>
      </c>
      <c r="O76">
        <v>126</v>
      </c>
      <c r="Q76" t="s">
        <v>554</v>
      </c>
      <c r="S76" s="171">
        <f t="shared" si="19"/>
        <v>32236800</v>
      </c>
      <c r="U76" s="194">
        <f t="shared" si="20"/>
        <v>8954666.666666666</v>
      </c>
      <c r="W76" s="195">
        <f t="shared" si="21"/>
        <v>6.4473599999999998</v>
      </c>
      <c r="AF76" s="171">
        <f t="shared" si="22"/>
        <v>7736832</v>
      </c>
      <c r="AH76" s="195">
        <f t="shared" si="23"/>
        <v>1.5473664</v>
      </c>
      <c r="AJ76" s="164">
        <v>0.46</v>
      </c>
      <c r="AK76" s="171">
        <f t="shared" si="17"/>
        <v>20148000</v>
      </c>
      <c r="AM76">
        <v>20</v>
      </c>
      <c r="AN76" s="171">
        <f t="shared" si="18"/>
        <v>402960000</v>
      </c>
      <c r="AO76" s="199">
        <f t="shared" si="24"/>
        <v>80592000</v>
      </c>
      <c r="AR76" s="195">
        <f t="shared" si="26"/>
        <v>45</v>
      </c>
      <c r="AT76" s="195">
        <v>0.08</v>
      </c>
      <c r="AV76" s="195">
        <f t="shared" si="25"/>
        <v>2.2222222222222223E-2</v>
      </c>
      <c r="AY76" s="195">
        <v>19.2</v>
      </c>
    </row>
    <row r="77" spans="1:51">
      <c r="A77" s="13" t="str">
        <f t="shared" si="14"/>
        <v>\cite{Raadal2014}</v>
      </c>
      <c r="B77" t="s">
        <v>537</v>
      </c>
      <c r="C77">
        <v>2014</v>
      </c>
      <c r="E77" s="13">
        <f t="shared" si="15"/>
        <v>2014</v>
      </c>
      <c r="F77" s="155">
        <f>LOOKUP(E77,Total_wind_installed_capacity!$A$3:$A$34,Total_wind_installed_capacity!$H$3:$H$34)</f>
        <v>360.68525</v>
      </c>
      <c r="J77" s="170">
        <v>5000</v>
      </c>
      <c r="K77">
        <v>1</v>
      </c>
      <c r="L77" s="188">
        <f t="shared" si="16"/>
        <v>5000</v>
      </c>
      <c r="M77" t="s">
        <v>545</v>
      </c>
      <c r="N77" t="s">
        <v>547</v>
      </c>
      <c r="O77">
        <v>126</v>
      </c>
      <c r="Q77" t="s">
        <v>555</v>
      </c>
      <c r="S77" s="171">
        <f t="shared" si="19"/>
        <v>32236800</v>
      </c>
      <c r="U77" s="194">
        <f t="shared" si="20"/>
        <v>8954666.666666666</v>
      </c>
      <c r="W77" s="195">
        <f t="shared" si="21"/>
        <v>6.4473599999999998</v>
      </c>
      <c r="AF77" s="171">
        <f t="shared" si="22"/>
        <v>7253280</v>
      </c>
      <c r="AH77" s="195">
        <f t="shared" si="23"/>
        <v>1.4506559999999999</v>
      </c>
      <c r="AJ77" s="164">
        <v>0.46</v>
      </c>
      <c r="AK77" s="171">
        <f t="shared" si="17"/>
        <v>20148000</v>
      </c>
      <c r="AM77">
        <v>20</v>
      </c>
      <c r="AN77" s="171">
        <f t="shared" si="18"/>
        <v>402960000</v>
      </c>
      <c r="AO77" s="199">
        <f t="shared" si="24"/>
        <v>80592000</v>
      </c>
      <c r="AR77" s="195">
        <f t="shared" si="26"/>
        <v>45</v>
      </c>
      <c r="AT77" s="195">
        <v>0.08</v>
      </c>
      <c r="AV77" s="195">
        <f t="shared" si="25"/>
        <v>2.2222222222222223E-2</v>
      </c>
      <c r="AY77" s="195">
        <v>18</v>
      </c>
    </row>
    <row r="78" spans="1:51">
      <c r="A78" s="13" t="str">
        <f t="shared" si="14"/>
        <v>\cite{Raadal2014}</v>
      </c>
      <c r="B78" t="s">
        <v>537</v>
      </c>
      <c r="C78">
        <v>2014</v>
      </c>
      <c r="E78" s="13">
        <f t="shared" si="15"/>
        <v>2014</v>
      </c>
      <c r="F78" s="155">
        <f>LOOKUP(E78,Total_wind_installed_capacity!$A$3:$A$34,Total_wind_installed_capacity!$H$3:$H$34)</f>
        <v>360.68525</v>
      </c>
      <c r="J78" s="170">
        <v>5000</v>
      </c>
      <c r="K78">
        <v>1</v>
      </c>
      <c r="L78" s="188">
        <f t="shared" si="16"/>
        <v>5000</v>
      </c>
      <c r="M78" t="s">
        <v>545</v>
      </c>
      <c r="N78" t="s">
        <v>547</v>
      </c>
      <c r="O78">
        <v>126</v>
      </c>
      <c r="Q78" t="s">
        <v>556</v>
      </c>
      <c r="S78" s="171">
        <f t="shared" si="19"/>
        <v>32236800</v>
      </c>
      <c r="U78" s="194">
        <f t="shared" si="20"/>
        <v>8954666.666666666</v>
      </c>
      <c r="W78" s="195">
        <f t="shared" si="21"/>
        <v>6.4473599999999998</v>
      </c>
      <c r="AF78" s="171">
        <f t="shared" si="22"/>
        <v>7615943.9999999991</v>
      </c>
      <c r="AH78" s="195">
        <f t="shared" si="23"/>
        <v>1.5231888</v>
      </c>
      <c r="AJ78" s="164">
        <v>0.46</v>
      </c>
      <c r="AK78" s="171">
        <f t="shared" si="17"/>
        <v>20148000</v>
      </c>
      <c r="AM78">
        <v>20</v>
      </c>
      <c r="AN78" s="171">
        <f t="shared" si="18"/>
        <v>402960000</v>
      </c>
      <c r="AO78" s="199">
        <f t="shared" si="24"/>
        <v>80592000</v>
      </c>
      <c r="AR78" s="195">
        <f t="shared" si="26"/>
        <v>45</v>
      </c>
      <c r="AT78" s="195">
        <v>0.08</v>
      </c>
      <c r="AV78" s="195">
        <f t="shared" si="25"/>
        <v>2.2222222222222223E-2</v>
      </c>
      <c r="AY78" s="195">
        <v>18.899999999999999</v>
      </c>
    </row>
    <row r="79" spans="1:51">
      <c r="A79" s="13" t="str">
        <f t="shared" si="14"/>
        <v>\cite{Raadal2014}</v>
      </c>
      <c r="B79" t="s">
        <v>537</v>
      </c>
      <c r="C79">
        <v>2014</v>
      </c>
      <c r="E79" s="13">
        <f t="shared" si="15"/>
        <v>2014</v>
      </c>
      <c r="F79" s="155">
        <f>LOOKUP(E79,Total_wind_installed_capacity!$A$3:$A$34,Total_wind_installed_capacity!$H$3:$H$34)</f>
        <v>360.68525</v>
      </c>
      <c r="J79" s="170">
        <v>5000</v>
      </c>
      <c r="K79">
        <v>1</v>
      </c>
      <c r="L79" s="188">
        <f t="shared" si="16"/>
        <v>5000</v>
      </c>
      <c r="M79" t="s">
        <v>545</v>
      </c>
      <c r="N79" t="s">
        <v>547</v>
      </c>
      <c r="O79">
        <v>126</v>
      </c>
      <c r="Q79" t="s">
        <v>557</v>
      </c>
      <c r="S79" s="171">
        <f t="shared" si="19"/>
        <v>0</v>
      </c>
      <c r="U79" s="194">
        <f t="shared" si="20"/>
        <v>0</v>
      </c>
      <c r="W79" s="195">
        <f t="shared" si="21"/>
        <v>0</v>
      </c>
      <c r="AF79" s="171">
        <f t="shared" si="22"/>
        <v>6850320</v>
      </c>
      <c r="AH79" s="195">
        <f t="shared" si="23"/>
        <v>1.3700640000000002</v>
      </c>
      <c r="AJ79" s="164">
        <v>0.46</v>
      </c>
      <c r="AK79" s="171">
        <f t="shared" si="17"/>
        <v>20148000</v>
      </c>
      <c r="AM79">
        <v>20</v>
      </c>
      <c r="AN79" s="171">
        <f t="shared" si="18"/>
        <v>402960000</v>
      </c>
      <c r="AO79" s="199">
        <f t="shared" si="24"/>
        <v>80592000</v>
      </c>
      <c r="AR79" s="195"/>
      <c r="AT79" s="195"/>
      <c r="AV79" s="195">
        <f t="shared" si="25"/>
        <v>0</v>
      </c>
      <c r="AY79" s="195">
        <v>17</v>
      </c>
    </row>
    <row r="80" spans="1:51">
      <c r="A80" s="13" t="str">
        <f t="shared" si="14"/>
        <v>\cite{Raadal2014}</v>
      </c>
      <c r="B80" t="s">
        <v>537</v>
      </c>
      <c r="C80">
        <v>2014</v>
      </c>
      <c r="E80" s="13">
        <f t="shared" si="15"/>
        <v>2014</v>
      </c>
      <c r="F80" s="155">
        <f>LOOKUP(E80,Total_wind_installed_capacity!$A$3:$A$34,Total_wind_installed_capacity!$H$3:$H$34)</f>
        <v>360.68525</v>
      </c>
      <c r="J80" s="170">
        <v>5000</v>
      </c>
      <c r="K80">
        <v>1</v>
      </c>
      <c r="L80" s="188">
        <f t="shared" si="16"/>
        <v>5000</v>
      </c>
      <c r="M80" t="s">
        <v>545</v>
      </c>
      <c r="N80" t="s">
        <v>547</v>
      </c>
      <c r="O80">
        <v>126</v>
      </c>
      <c r="Q80" t="s">
        <v>558</v>
      </c>
      <c r="S80" s="171">
        <f t="shared" si="19"/>
        <v>0</v>
      </c>
      <c r="U80" s="194">
        <f t="shared" si="20"/>
        <v>0</v>
      </c>
      <c r="W80" s="195">
        <f t="shared" si="21"/>
        <v>0</v>
      </c>
      <c r="AF80" s="171">
        <f t="shared" si="22"/>
        <v>5319072</v>
      </c>
      <c r="AH80" s="195">
        <f t="shared" si="23"/>
        <v>1.0638144</v>
      </c>
      <c r="AJ80" s="164">
        <v>0.46</v>
      </c>
      <c r="AK80" s="171">
        <f t="shared" si="17"/>
        <v>20148000</v>
      </c>
      <c r="AM80">
        <v>20</v>
      </c>
      <c r="AN80" s="171">
        <f t="shared" si="18"/>
        <v>402960000</v>
      </c>
      <c r="AO80" s="199">
        <f t="shared" si="24"/>
        <v>80592000</v>
      </c>
      <c r="AR80" s="195"/>
      <c r="AT80" s="195"/>
      <c r="AV80" s="195">
        <f t="shared" si="25"/>
        <v>0</v>
      </c>
      <c r="AY80" s="195">
        <v>13.2</v>
      </c>
    </row>
    <row r="81" spans="1:51">
      <c r="A81" s="13" t="str">
        <f t="shared" si="14"/>
        <v>\cite{Reimers2014}</v>
      </c>
      <c r="B81" t="s">
        <v>538</v>
      </c>
      <c r="C81">
        <v>2014</v>
      </c>
      <c r="E81" s="13">
        <f t="shared" si="15"/>
        <v>2014</v>
      </c>
      <c r="F81" s="155">
        <f>LOOKUP(E81,Total_wind_installed_capacity!$A$3:$A$34,Total_wind_installed_capacity!$H$3:$H$34)</f>
        <v>360.68525</v>
      </c>
      <c r="J81" s="170">
        <v>5000</v>
      </c>
      <c r="K81">
        <v>1</v>
      </c>
      <c r="L81" s="188">
        <f t="shared" si="16"/>
        <v>5000</v>
      </c>
      <c r="M81" t="s">
        <v>545</v>
      </c>
      <c r="N81" t="s">
        <v>547</v>
      </c>
      <c r="O81">
        <v>126</v>
      </c>
      <c r="Q81" t="s">
        <v>559</v>
      </c>
      <c r="S81" s="171">
        <f t="shared" si="19"/>
        <v>0</v>
      </c>
      <c r="U81" s="194">
        <f t="shared" si="20"/>
        <v>0</v>
      </c>
      <c r="W81" s="195">
        <f t="shared" si="21"/>
        <v>0</v>
      </c>
      <c r="AF81" s="171">
        <f t="shared" si="22"/>
        <v>5722032</v>
      </c>
      <c r="AH81" s="195">
        <f t="shared" si="23"/>
        <v>1.1444064</v>
      </c>
      <c r="AJ81" s="164">
        <v>0.46</v>
      </c>
      <c r="AK81" s="171">
        <f t="shared" si="17"/>
        <v>20148000</v>
      </c>
      <c r="AM81">
        <v>20</v>
      </c>
      <c r="AN81" s="171">
        <f t="shared" si="18"/>
        <v>402960000</v>
      </c>
      <c r="AO81" s="199">
        <f t="shared" si="24"/>
        <v>80592000</v>
      </c>
      <c r="AR81" s="195"/>
      <c r="AT81" s="195"/>
      <c r="AV81" s="195">
        <f t="shared" si="25"/>
        <v>0</v>
      </c>
      <c r="AY81" s="195">
        <v>14.2</v>
      </c>
    </row>
    <row r="82" spans="1:51">
      <c r="A82" s="13" t="str">
        <f t="shared" si="14"/>
        <v>\cite{Reimers2014}</v>
      </c>
      <c r="B82" t="s">
        <v>538</v>
      </c>
      <c r="C82">
        <v>2014</v>
      </c>
      <c r="E82" s="13">
        <f t="shared" si="15"/>
        <v>2014</v>
      </c>
      <c r="F82" s="155">
        <f>LOOKUP(E82,Total_wind_installed_capacity!$A$3:$A$34,Total_wind_installed_capacity!$H$3:$H$34)</f>
        <v>360.68525</v>
      </c>
      <c r="J82" s="170">
        <v>3000</v>
      </c>
      <c r="K82">
        <v>1</v>
      </c>
      <c r="L82" s="188">
        <f t="shared" si="16"/>
        <v>3000</v>
      </c>
      <c r="M82" t="s">
        <v>545</v>
      </c>
      <c r="N82" t="s">
        <v>546</v>
      </c>
      <c r="O82">
        <v>90</v>
      </c>
      <c r="S82" s="171">
        <f t="shared" si="19"/>
        <v>0</v>
      </c>
      <c r="U82" s="194">
        <f t="shared" si="20"/>
        <v>0</v>
      </c>
      <c r="W82" s="195">
        <f t="shared" si="21"/>
        <v>0</v>
      </c>
      <c r="AF82" s="171">
        <f t="shared" si="22"/>
        <v>34058880</v>
      </c>
      <c r="AH82" s="195">
        <f t="shared" si="23"/>
        <v>11.352959999999999</v>
      </c>
      <c r="AJ82" s="164">
        <v>0.24</v>
      </c>
      <c r="AK82" s="171">
        <f t="shared" si="17"/>
        <v>6307200</v>
      </c>
      <c r="AM82">
        <v>20</v>
      </c>
      <c r="AN82" s="171">
        <f t="shared" si="18"/>
        <v>126144000</v>
      </c>
      <c r="AO82" s="199">
        <f t="shared" si="24"/>
        <v>42048000</v>
      </c>
      <c r="AR82" s="195"/>
      <c r="AT82" s="195"/>
      <c r="AV82" s="195">
        <f t="shared" si="25"/>
        <v>0</v>
      </c>
      <c r="AY82" s="195">
        <v>270</v>
      </c>
    </row>
    <row r="83" spans="1:51">
      <c r="A83" s="13" t="str">
        <f t="shared" si="14"/>
        <v>\cite{Reimers2014}</v>
      </c>
      <c r="B83" t="s">
        <v>538</v>
      </c>
      <c r="C83">
        <v>2014</v>
      </c>
      <c r="E83" s="13">
        <f t="shared" si="15"/>
        <v>2014</v>
      </c>
      <c r="F83" s="155">
        <f>LOOKUP(E83,Total_wind_installed_capacity!$A$3:$A$34,Total_wind_installed_capacity!$H$3:$H$34)</f>
        <v>360.68525</v>
      </c>
      <c r="J83" s="170">
        <v>2500</v>
      </c>
      <c r="K83">
        <v>1</v>
      </c>
      <c r="L83" s="188">
        <f t="shared" si="16"/>
        <v>2500</v>
      </c>
      <c r="M83" t="s">
        <v>545</v>
      </c>
      <c r="N83" t="s">
        <v>546</v>
      </c>
      <c r="O83">
        <v>110</v>
      </c>
      <c r="S83" s="171">
        <f t="shared" si="19"/>
        <v>0</v>
      </c>
      <c r="U83" s="194">
        <f t="shared" si="20"/>
        <v>0</v>
      </c>
      <c r="W83" s="195">
        <f t="shared" si="21"/>
        <v>0</v>
      </c>
      <c r="AF83" s="171">
        <f t="shared" si="22"/>
        <v>8672400</v>
      </c>
      <c r="AH83" s="195">
        <f t="shared" si="23"/>
        <v>3.46896</v>
      </c>
      <c r="AJ83" s="164">
        <v>0.22</v>
      </c>
      <c r="AK83" s="171">
        <f t="shared" si="17"/>
        <v>4818000</v>
      </c>
      <c r="AM83">
        <v>20</v>
      </c>
      <c r="AN83" s="171">
        <f t="shared" si="18"/>
        <v>96360000</v>
      </c>
      <c r="AO83" s="199">
        <f t="shared" si="24"/>
        <v>38544000</v>
      </c>
      <c r="AR83" s="195"/>
      <c r="AT83" s="195"/>
      <c r="AV83" s="195">
        <f t="shared" si="25"/>
        <v>0</v>
      </c>
      <c r="AY83" s="195">
        <v>90</v>
      </c>
    </row>
    <row r="84" spans="1:51">
      <c r="A84" s="13" t="str">
        <f t="shared" si="14"/>
        <v>\cite{Uddin2014}</v>
      </c>
      <c r="B84" t="s">
        <v>149</v>
      </c>
      <c r="C84">
        <v>2014</v>
      </c>
      <c r="E84" s="13">
        <f t="shared" si="15"/>
        <v>2014</v>
      </c>
      <c r="F84" s="155">
        <f>LOOKUP(E84,Total_wind_installed_capacity!$A$3:$A$34,Total_wind_installed_capacity!$H$3:$H$34)</f>
        <v>360.68525</v>
      </c>
      <c r="J84" s="169">
        <v>0.3</v>
      </c>
      <c r="K84">
        <v>1</v>
      </c>
      <c r="L84" s="192">
        <f t="shared" si="16"/>
        <v>0.3</v>
      </c>
      <c r="M84" t="s">
        <v>548</v>
      </c>
      <c r="N84" t="s">
        <v>546</v>
      </c>
      <c r="S84" s="171">
        <f t="shared" si="19"/>
        <v>883.00800000000004</v>
      </c>
      <c r="U84" s="194">
        <f t="shared" si="20"/>
        <v>245.28</v>
      </c>
      <c r="W84" s="195">
        <f t="shared" si="21"/>
        <v>2.9433600000000002</v>
      </c>
      <c r="AF84" s="171">
        <f t="shared" si="22"/>
        <v>0</v>
      </c>
      <c r="AH84" s="195">
        <f t="shared" si="23"/>
        <v>0</v>
      </c>
      <c r="AJ84" s="164">
        <v>0.21</v>
      </c>
      <c r="AK84" s="196">
        <f>L84*AJ84*8760</f>
        <v>551.88</v>
      </c>
      <c r="AM84">
        <v>20</v>
      </c>
      <c r="AN84" s="171">
        <f t="shared" si="18"/>
        <v>11037.6</v>
      </c>
      <c r="AO84" s="199">
        <f t="shared" si="24"/>
        <v>36792000</v>
      </c>
      <c r="AR84" s="195">
        <f t="shared" si="26"/>
        <v>45</v>
      </c>
      <c r="AT84" s="195">
        <v>0.08</v>
      </c>
      <c r="AV84" s="195">
        <f t="shared" si="25"/>
        <v>2.2222222222222223E-2</v>
      </c>
      <c r="AY84" s="195">
        <v>0</v>
      </c>
    </row>
    <row r="85" spans="1:51">
      <c r="A85" s="13" t="str">
        <f t="shared" si="14"/>
        <v>\cite{Uddin2014}</v>
      </c>
      <c r="B85" t="s">
        <v>149</v>
      </c>
      <c r="C85">
        <v>2014</v>
      </c>
      <c r="E85" s="13">
        <f t="shared" si="15"/>
        <v>2014</v>
      </c>
      <c r="F85" s="155">
        <f>LOOKUP(E85,Total_wind_installed_capacity!$A$3:$A$34,Total_wind_installed_capacity!$H$3:$H$34)</f>
        <v>360.68525</v>
      </c>
      <c r="J85" s="169">
        <v>0.5</v>
      </c>
      <c r="K85">
        <v>1</v>
      </c>
      <c r="L85" s="192">
        <f t="shared" si="16"/>
        <v>0.5</v>
      </c>
      <c r="M85" t="s">
        <v>545</v>
      </c>
      <c r="N85" t="s">
        <v>546</v>
      </c>
      <c r="O85">
        <v>1.7</v>
      </c>
      <c r="S85" s="171">
        <f t="shared" si="19"/>
        <v>3232.44</v>
      </c>
      <c r="U85" s="194">
        <f t="shared" si="20"/>
        <v>897.9</v>
      </c>
      <c r="W85" s="195">
        <f t="shared" si="21"/>
        <v>6.46488</v>
      </c>
      <c r="AF85" s="171">
        <f t="shared" si="22"/>
        <v>0</v>
      </c>
      <c r="AH85" s="195">
        <f t="shared" si="23"/>
        <v>0</v>
      </c>
      <c r="AJ85" s="164">
        <v>0.41</v>
      </c>
      <c r="AK85" s="171">
        <f t="shared" si="17"/>
        <v>1795.8</v>
      </c>
      <c r="AM85">
        <v>20</v>
      </c>
      <c r="AN85" s="171">
        <f t="shared" si="18"/>
        <v>35916</v>
      </c>
      <c r="AO85" s="199">
        <f t="shared" si="24"/>
        <v>71832000</v>
      </c>
      <c r="AR85" s="195">
        <f t="shared" si="26"/>
        <v>40</v>
      </c>
      <c r="AT85" s="195">
        <v>0.09</v>
      </c>
      <c r="AV85" s="195">
        <f t="shared" si="25"/>
        <v>2.4999999999999998E-2</v>
      </c>
      <c r="AY85" s="195">
        <v>0</v>
      </c>
    </row>
    <row r="86" spans="1:51">
      <c r="A86" s="13" t="str">
        <f t="shared" si="14"/>
        <v>\cite{Vestas.2014}</v>
      </c>
      <c r="B86" t="s">
        <v>532</v>
      </c>
      <c r="C86">
        <v>2014</v>
      </c>
      <c r="E86" s="13">
        <f t="shared" si="15"/>
        <v>2014</v>
      </c>
      <c r="F86" s="155">
        <f>LOOKUP(E86,Total_wind_installed_capacity!$A$3:$A$34,Total_wind_installed_capacity!$H$3:$H$34)</f>
        <v>360.68525</v>
      </c>
      <c r="J86" s="170">
        <v>3300</v>
      </c>
      <c r="K86">
        <v>1</v>
      </c>
      <c r="L86" s="188">
        <f t="shared" si="16"/>
        <v>3300</v>
      </c>
      <c r="M86" t="s">
        <v>545</v>
      </c>
      <c r="N86" t="s">
        <v>546</v>
      </c>
      <c r="O86">
        <v>105</v>
      </c>
      <c r="S86" s="171">
        <f t="shared" si="19"/>
        <v>32608224</v>
      </c>
      <c r="U86" s="194">
        <f t="shared" si="20"/>
        <v>9057840</v>
      </c>
      <c r="W86" s="195">
        <f t="shared" si="21"/>
        <v>9.8812800000000003</v>
      </c>
      <c r="AF86" s="171">
        <f t="shared" si="22"/>
        <v>0</v>
      </c>
      <c r="AH86" s="195">
        <f t="shared" si="23"/>
        <v>0</v>
      </c>
      <c r="AJ86" s="164">
        <v>0.47</v>
      </c>
      <c r="AK86" s="171">
        <f t="shared" si="17"/>
        <v>13586760</v>
      </c>
      <c r="AM86">
        <v>20</v>
      </c>
      <c r="AN86" s="171">
        <f t="shared" si="18"/>
        <v>271735200</v>
      </c>
      <c r="AO86" s="199">
        <f t="shared" si="24"/>
        <v>82344000</v>
      </c>
      <c r="AR86" s="195">
        <f t="shared" si="26"/>
        <v>30</v>
      </c>
      <c r="AT86" s="195">
        <v>0.12</v>
      </c>
      <c r="AV86" s="195">
        <f t="shared" si="25"/>
        <v>3.3333333333333333E-2</v>
      </c>
      <c r="AY86" s="195">
        <v>0</v>
      </c>
    </row>
    <row r="87" spans="1:51">
      <c r="A87" s="13" t="str">
        <f t="shared" si="14"/>
        <v>\cite{Vestas.2014}</v>
      </c>
      <c r="B87" t="s">
        <v>532</v>
      </c>
      <c r="C87">
        <v>2014</v>
      </c>
      <c r="E87" s="13">
        <f t="shared" si="15"/>
        <v>2014</v>
      </c>
      <c r="F87" s="155">
        <f>LOOKUP(E87,Total_wind_installed_capacity!$A$3:$A$34,Total_wind_installed_capacity!$H$3:$H$34)</f>
        <v>360.68525</v>
      </c>
      <c r="J87" s="170">
        <v>3300</v>
      </c>
      <c r="K87">
        <v>1</v>
      </c>
      <c r="L87" s="188">
        <f t="shared" si="16"/>
        <v>3300</v>
      </c>
      <c r="M87" t="s">
        <v>545</v>
      </c>
      <c r="N87" t="s">
        <v>546</v>
      </c>
      <c r="O87">
        <v>117</v>
      </c>
      <c r="S87" s="171">
        <f t="shared" si="19"/>
        <v>0</v>
      </c>
      <c r="U87" s="194">
        <f t="shared" si="20"/>
        <v>0</v>
      </c>
      <c r="W87" s="195">
        <f t="shared" si="21"/>
        <v>0</v>
      </c>
      <c r="AF87" s="171">
        <f t="shared" si="22"/>
        <v>1554094.0800000001</v>
      </c>
      <c r="AH87" s="195">
        <f t="shared" si="23"/>
        <v>0.47093760000000001</v>
      </c>
      <c r="AJ87" s="164">
        <v>0.42</v>
      </c>
      <c r="AK87" s="171">
        <f t="shared" si="17"/>
        <v>12141360</v>
      </c>
      <c r="AM87">
        <v>20</v>
      </c>
      <c r="AN87" s="171">
        <f t="shared" si="18"/>
        <v>242827200</v>
      </c>
      <c r="AO87" s="199">
        <f t="shared" si="24"/>
        <v>73584000</v>
      </c>
      <c r="AR87" s="195"/>
      <c r="AT87" s="195"/>
      <c r="AV87" s="195">
        <f t="shared" si="25"/>
        <v>0</v>
      </c>
      <c r="AY87" s="195">
        <v>6.4</v>
      </c>
    </row>
    <row r="88" spans="1:51">
      <c r="A88" s="13" t="str">
        <f t="shared" si="14"/>
        <v>\cite{Vestas.2014}</v>
      </c>
      <c r="B88" t="s">
        <v>532</v>
      </c>
      <c r="C88">
        <v>2014</v>
      </c>
      <c r="E88" s="13">
        <f t="shared" si="15"/>
        <v>2014</v>
      </c>
      <c r="F88" s="155">
        <f>LOOKUP(E88,Total_wind_installed_capacity!$A$3:$A$34,Total_wind_installed_capacity!$H$3:$H$34)</f>
        <v>360.68525</v>
      </c>
      <c r="J88" s="170">
        <v>3300</v>
      </c>
      <c r="K88">
        <v>1</v>
      </c>
      <c r="L88" s="188">
        <f t="shared" si="16"/>
        <v>3300</v>
      </c>
      <c r="M88" t="s">
        <v>545</v>
      </c>
      <c r="N88" t="s">
        <v>546</v>
      </c>
      <c r="O88">
        <v>126</v>
      </c>
      <c r="S88" s="171">
        <f t="shared" si="19"/>
        <v>0</v>
      </c>
      <c r="U88" s="194">
        <f t="shared" si="20"/>
        <v>0</v>
      </c>
      <c r="W88" s="195">
        <f t="shared" si="21"/>
        <v>0</v>
      </c>
      <c r="AF88" s="171">
        <f t="shared" si="22"/>
        <v>1754137.4399999997</v>
      </c>
      <c r="AH88" s="195">
        <f t="shared" si="23"/>
        <v>0.53155679999999994</v>
      </c>
      <c r="AJ88" s="164">
        <v>0.37</v>
      </c>
      <c r="AK88" s="171">
        <f t="shared" si="17"/>
        <v>10695960</v>
      </c>
      <c r="AM88">
        <v>20</v>
      </c>
      <c r="AN88" s="171">
        <f t="shared" si="18"/>
        <v>213919200</v>
      </c>
      <c r="AO88" s="199">
        <f t="shared" si="24"/>
        <v>64824000</v>
      </c>
      <c r="AR88" s="195"/>
      <c r="AT88" s="195"/>
      <c r="AV88" s="195">
        <f t="shared" si="25"/>
        <v>0</v>
      </c>
      <c r="AY88" s="195">
        <v>8.1999999999999993</v>
      </c>
    </row>
    <row r="89" spans="1:51">
      <c r="A89" s="13" t="str">
        <f t="shared" si="14"/>
        <v>\cite{Wp2014}</v>
      </c>
      <c r="B89" t="s">
        <v>539</v>
      </c>
      <c r="C89">
        <v>2014</v>
      </c>
      <c r="E89" s="13">
        <f t="shared" si="15"/>
        <v>2014</v>
      </c>
      <c r="F89" s="155">
        <f>LOOKUP(E89,Total_wind_installed_capacity!$A$3:$A$34,Total_wind_installed_capacity!$H$3:$H$34)</f>
        <v>360.68525</v>
      </c>
      <c r="J89" s="170">
        <v>5000</v>
      </c>
      <c r="K89">
        <v>1</v>
      </c>
      <c r="L89" s="188">
        <f t="shared" si="16"/>
        <v>5000</v>
      </c>
      <c r="M89" t="s">
        <v>548</v>
      </c>
      <c r="N89" t="s">
        <v>547</v>
      </c>
      <c r="O89">
        <v>120</v>
      </c>
      <c r="S89" s="171">
        <f t="shared" si="19"/>
        <v>0</v>
      </c>
      <c r="U89" s="194">
        <f t="shared" si="20"/>
        <v>0</v>
      </c>
      <c r="W89" s="195">
        <f t="shared" si="21"/>
        <v>0</v>
      </c>
      <c r="AF89" s="171">
        <f t="shared" si="22"/>
        <v>0</v>
      </c>
      <c r="AH89" s="195">
        <f t="shared" si="23"/>
        <v>0</v>
      </c>
      <c r="AJ89" s="164">
        <v>0.39</v>
      </c>
      <c r="AK89" s="171">
        <f t="shared" si="17"/>
        <v>17082000</v>
      </c>
      <c r="AM89">
        <v>20</v>
      </c>
      <c r="AN89" s="171">
        <f t="shared" si="18"/>
        <v>341640000</v>
      </c>
      <c r="AO89" s="199">
        <f t="shared" si="24"/>
        <v>68328000</v>
      </c>
      <c r="AR89" s="195"/>
      <c r="AT89" s="195"/>
      <c r="AV89" s="195">
        <f t="shared" si="25"/>
        <v>0</v>
      </c>
      <c r="AY89" s="195"/>
    </row>
    <row r="90" spans="1:51">
      <c r="A90" s="13" t="str">
        <f t="shared" si="14"/>
        <v>\cite{Demir2013}</v>
      </c>
      <c r="B90" t="s">
        <v>465</v>
      </c>
      <c r="C90">
        <v>2013</v>
      </c>
      <c r="E90" s="13">
        <f t="shared" si="15"/>
        <v>2013</v>
      </c>
      <c r="F90" s="155">
        <f>LOOKUP(E90,Total_wind_installed_capacity!$A$3:$A$34,Total_wind_installed_capacity!$H$3:$H$34)</f>
        <v>310.36672750000002</v>
      </c>
      <c r="J90" s="170">
        <v>330</v>
      </c>
      <c r="K90">
        <v>1</v>
      </c>
      <c r="L90" s="188">
        <f t="shared" si="16"/>
        <v>330</v>
      </c>
      <c r="M90" t="s">
        <v>545</v>
      </c>
      <c r="N90" t="s">
        <v>546</v>
      </c>
      <c r="O90">
        <v>33</v>
      </c>
      <c r="S90" s="171">
        <f t="shared" si="19"/>
        <v>0</v>
      </c>
      <c r="U90" s="194">
        <f t="shared" si="20"/>
        <v>0</v>
      </c>
      <c r="W90" s="195">
        <f t="shared" si="21"/>
        <v>0</v>
      </c>
      <c r="AF90" s="171">
        <f t="shared" si="22"/>
        <v>442673.98560000001</v>
      </c>
      <c r="AH90" s="195">
        <f t="shared" si="23"/>
        <v>1.3414363200000001</v>
      </c>
      <c r="AJ90" s="164">
        <v>0.21</v>
      </c>
      <c r="AK90" s="171">
        <f t="shared" si="17"/>
        <v>607068</v>
      </c>
      <c r="AM90">
        <v>20</v>
      </c>
      <c r="AN90" s="171">
        <f t="shared" si="18"/>
        <v>12141360</v>
      </c>
      <c r="AO90" s="199">
        <f t="shared" si="24"/>
        <v>36792000</v>
      </c>
      <c r="AR90" s="195"/>
      <c r="AT90" s="195"/>
      <c r="AV90" s="195">
        <f t="shared" si="25"/>
        <v>0</v>
      </c>
      <c r="AY90" s="195">
        <v>36.46</v>
      </c>
    </row>
    <row r="91" spans="1:51">
      <c r="A91" s="13" t="str">
        <f t="shared" si="14"/>
        <v>\cite{Demir2013}</v>
      </c>
      <c r="B91" t="s">
        <v>465</v>
      </c>
      <c r="C91">
        <v>2013</v>
      </c>
      <c r="E91" s="13">
        <f t="shared" si="15"/>
        <v>2013</v>
      </c>
      <c r="F91" s="155">
        <f>LOOKUP(E91,Total_wind_installed_capacity!$A$3:$A$34,Total_wind_installed_capacity!$H$3:$H$34)</f>
        <v>310.36672750000002</v>
      </c>
      <c r="J91" s="170">
        <v>500</v>
      </c>
      <c r="K91">
        <v>1</v>
      </c>
      <c r="L91" s="188">
        <f t="shared" si="16"/>
        <v>500</v>
      </c>
      <c r="M91" t="s">
        <v>545</v>
      </c>
      <c r="N91" t="s">
        <v>546</v>
      </c>
      <c r="O91">
        <v>48</v>
      </c>
      <c r="S91" s="171">
        <f t="shared" si="19"/>
        <v>0</v>
      </c>
      <c r="U91" s="194">
        <f t="shared" si="20"/>
        <v>0</v>
      </c>
      <c r="W91" s="195">
        <f t="shared" si="21"/>
        <v>0</v>
      </c>
      <c r="AF91" s="171">
        <f t="shared" si="22"/>
        <v>588855.96</v>
      </c>
      <c r="AH91" s="195">
        <f t="shared" si="23"/>
        <v>1.1777119199999999</v>
      </c>
      <c r="AJ91" s="164">
        <v>0.21</v>
      </c>
      <c r="AK91" s="171">
        <f t="shared" si="17"/>
        <v>919800</v>
      </c>
      <c r="AM91">
        <v>20</v>
      </c>
      <c r="AN91" s="171">
        <f t="shared" si="18"/>
        <v>18396000</v>
      </c>
      <c r="AO91" s="199">
        <f t="shared" si="24"/>
        <v>36792000</v>
      </c>
      <c r="AR91" s="195"/>
      <c r="AT91" s="195"/>
      <c r="AV91" s="195">
        <f t="shared" si="25"/>
        <v>0</v>
      </c>
      <c r="AY91" s="195">
        <v>32.01</v>
      </c>
    </row>
    <row r="92" spans="1:51">
      <c r="A92" s="13" t="str">
        <f t="shared" si="14"/>
        <v>\cite{Demir2013}</v>
      </c>
      <c r="B92" t="s">
        <v>465</v>
      </c>
      <c r="C92">
        <v>2013</v>
      </c>
      <c r="E92" s="13">
        <f t="shared" si="15"/>
        <v>2013</v>
      </c>
      <c r="F92" s="155">
        <f>LOOKUP(E92,Total_wind_installed_capacity!$A$3:$A$34,Total_wind_installed_capacity!$H$3:$H$34)</f>
        <v>310.36672750000002</v>
      </c>
      <c r="J92" s="170">
        <v>810</v>
      </c>
      <c r="K92">
        <v>1</v>
      </c>
      <c r="L92" s="188">
        <f t="shared" si="16"/>
        <v>810</v>
      </c>
      <c r="M92" t="s">
        <v>545</v>
      </c>
      <c r="N92" t="s">
        <v>546</v>
      </c>
      <c r="O92">
        <v>53</v>
      </c>
      <c r="S92" s="171">
        <f t="shared" si="19"/>
        <v>34271748</v>
      </c>
      <c r="U92" s="194">
        <f t="shared" si="20"/>
        <v>9519930</v>
      </c>
      <c r="W92" s="195">
        <f t="shared" si="21"/>
        <v>42.3108</v>
      </c>
      <c r="AF92" s="171">
        <f t="shared" si="22"/>
        <v>645500.92320000008</v>
      </c>
      <c r="AH92" s="195">
        <f t="shared" si="23"/>
        <v>0.79691472000000008</v>
      </c>
      <c r="AJ92" s="164">
        <v>0.21</v>
      </c>
      <c r="AK92" s="171">
        <f t="shared" si="17"/>
        <v>1490076</v>
      </c>
      <c r="AM92">
        <v>20</v>
      </c>
      <c r="AN92" s="171">
        <f t="shared" si="18"/>
        <v>29801520</v>
      </c>
      <c r="AO92" s="199">
        <f t="shared" si="24"/>
        <v>36792000</v>
      </c>
      <c r="AR92" s="195">
        <f t="shared" si="26"/>
        <v>3.1304347826086958</v>
      </c>
      <c r="AT92" s="195">
        <v>1.1499999999999999</v>
      </c>
      <c r="AV92" s="195">
        <f t="shared" si="25"/>
        <v>0.31944444444444442</v>
      </c>
      <c r="AY92" s="195">
        <v>21.66</v>
      </c>
    </row>
    <row r="93" spans="1:51">
      <c r="A93" s="13" t="str">
        <f t="shared" si="14"/>
        <v>\cite{Demir2013}</v>
      </c>
      <c r="B93" t="s">
        <v>465</v>
      </c>
      <c r="C93">
        <v>2013</v>
      </c>
      <c r="E93" s="13">
        <f t="shared" si="15"/>
        <v>2013</v>
      </c>
      <c r="F93" s="155">
        <f>LOOKUP(E93,Total_wind_installed_capacity!$A$3:$A$34,Total_wind_installed_capacity!$H$3:$H$34)</f>
        <v>310.36672750000002</v>
      </c>
      <c r="J93" s="170">
        <v>2050</v>
      </c>
      <c r="K93">
        <v>1</v>
      </c>
      <c r="L93" s="188">
        <f t="shared" si="16"/>
        <v>2050</v>
      </c>
      <c r="M93" t="s">
        <v>545</v>
      </c>
      <c r="N93" t="s">
        <v>546</v>
      </c>
      <c r="O93">
        <v>82</v>
      </c>
      <c r="S93" s="171">
        <f t="shared" si="19"/>
        <v>0</v>
      </c>
      <c r="U93" s="194">
        <f t="shared" si="20"/>
        <v>0</v>
      </c>
      <c r="W93" s="195">
        <f t="shared" si="21"/>
        <v>0</v>
      </c>
      <c r="AF93" s="171">
        <f t="shared" si="22"/>
        <v>1194566.1599999999</v>
      </c>
      <c r="AH93" s="195">
        <f t="shared" si="23"/>
        <v>0.58271519999999999</v>
      </c>
      <c r="AJ93" s="164">
        <v>0.2</v>
      </c>
      <c r="AK93" s="171">
        <f t="shared" si="17"/>
        <v>3591600</v>
      </c>
      <c r="AM93">
        <v>20</v>
      </c>
      <c r="AN93" s="171">
        <f t="shared" si="18"/>
        <v>71832000</v>
      </c>
      <c r="AO93" s="199">
        <f t="shared" si="24"/>
        <v>35040000</v>
      </c>
      <c r="AR93" s="195"/>
      <c r="AT93" s="195"/>
      <c r="AV93" s="195">
        <f t="shared" si="25"/>
        <v>0</v>
      </c>
      <c r="AY93" s="195">
        <v>16.63</v>
      </c>
    </row>
    <row r="94" spans="1:51">
      <c r="A94" s="13" t="str">
        <f t="shared" si="14"/>
        <v>\cite{Demir2013}</v>
      </c>
      <c r="B94" t="s">
        <v>465</v>
      </c>
      <c r="C94">
        <v>2013</v>
      </c>
      <c r="E94" s="13">
        <f t="shared" si="15"/>
        <v>2013</v>
      </c>
      <c r="F94" s="155">
        <f>LOOKUP(E94,Total_wind_installed_capacity!$A$3:$A$34,Total_wind_installed_capacity!$H$3:$H$34)</f>
        <v>310.36672750000002</v>
      </c>
      <c r="J94" s="170">
        <v>3020</v>
      </c>
      <c r="K94">
        <v>1</v>
      </c>
      <c r="L94" s="188">
        <f t="shared" si="16"/>
        <v>3020</v>
      </c>
      <c r="M94" t="s">
        <v>545</v>
      </c>
      <c r="N94" t="s">
        <v>546</v>
      </c>
      <c r="O94">
        <v>82</v>
      </c>
      <c r="S94" s="171">
        <f t="shared" si="19"/>
        <v>0</v>
      </c>
      <c r="U94" s="194">
        <f t="shared" si="20"/>
        <v>0</v>
      </c>
      <c r="W94" s="195">
        <f t="shared" si="21"/>
        <v>0</v>
      </c>
      <c r="AF94" s="171">
        <f t="shared" si="22"/>
        <v>1634984.2703999998</v>
      </c>
      <c r="AH94" s="195">
        <f t="shared" si="23"/>
        <v>0.54138551999999995</v>
      </c>
      <c r="AJ94" s="164">
        <v>0.13</v>
      </c>
      <c r="AK94" s="171">
        <f t="shared" si="17"/>
        <v>3439176</v>
      </c>
      <c r="AM94">
        <v>20</v>
      </c>
      <c r="AN94" s="171">
        <f t="shared" si="18"/>
        <v>68783520</v>
      </c>
      <c r="AO94" s="199">
        <f t="shared" si="24"/>
        <v>22776000</v>
      </c>
      <c r="AR94" s="195"/>
      <c r="AT94" s="195"/>
      <c r="AV94" s="195">
        <f t="shared" si="25"/>
        <v>0</v>
      </c>
      <c r="AY94" s="195">
        <v>23.77</v>
      </c>
    </row>
    <row r="95" spans="1:51">
      <c r="A95" s="13" t="str">
        <f t="shared" ref="A95:A125" si="27">CONCATENATE("\cite{",B95,C95,"}")</f>
        <v>\cite{Greening2013}</v>
      </c>
      <c r="B95" t="s">
        <v>175</v>
      </c>
      <c r="C95">
        <v>2013</v>
      </c>
      <c r="E95" s="13">
        <f t="shared" si="15"/>
        <v>2013</v>
      </c>
      <c r="F95" s="155">
        <f>LOOKUP(E95,Total_wind_installed_capacity!$A$3:$A$34,Total_wind_installed_capacity!$H$3:$H$34)</f>
        <v>310.36672750000002</v>
      </c>
      <c r="J95" s="170">
        <v>6</v>
      </c>
      <c r="K95">
        <v>1</v>
      </c>
      <c r="L95" s="188">
        <f t="shared" si="16"/>
        <v>6</v>
      </c>
      <c r="M95" t="s">
        <v>545</v>
      </c>
      <c r="N95" t="s">
        <v>546</v>
      </c>
      <c r="S95" s="171">
        <f t="shared" si="19"/>
        <v>0</v>
      </c>
      <c r="U95" s="194">
        <f t="shared" si="20"/>
        <v>0</v>
      </c>
      <c r="W95" s="195">
        <f t="shared" si="21"/>
        <v>0</v>
      </c>
      <c r="AF95" s="171">
        <f t="shared" si="22"/>
        <v>7600.1759999999995</v>
      </c>
      <c r="AH95" s="195">
        <f t="shared" si="23"/>
        <v>1.2666959999999998</v>
      </c>
      <c r="AJ95" s="164">
        <v>0.15</v>
      </c>
      <c r="AK95" s="171">
        <f t="shared" si="17"/>
        <v>7883.9999999999991</v>
      </c>
      <c r="AM95">
        <v>20</v>
      </c>
      <c r="AN95" s="171">
        <f t="shared" si="18"/>
        <v>157679.99999999997</v>
      </c>
      <c r="AO95" s="199">
        <f t="shared" si="24"/>
        <v>26279999.999999996</v>
      </c>
      <c r="AR95" s="195"/>
      <c r="AT95" s="195"/>
      <c r="AV95" s="195">
        <f t="shared" si="25"/>
        <v>0</v>
      </c>
      <c r="AY95" s="195">
        <v>48.2</v>
      </c>
    </row>
    <row r="96" spans="1:51">
      <c r="A96" s="13" t="str">
        <f t="shared" si="27"/>
        <v>\cite{Oebels2013}</v>
      </c>
      <c r="B96" t="s">
        <v>265</v>
      </c>
      <c r="C96">
        <v>2013</v>
      </c>
      <c r="E96" s="13">
        <f t="shared" si="15"/>
        <v>2013</v>
      </c>
      <c r="F96" s="155">
        <f>LOOKUP(E96,Total_wind_installed_capacity!$A$3:$A$34,Total_wind_installed_capacity!$H$3:$H$34)</f>
        <v>310.36672750000002</v>
      </c>
      <c r="J96" s="170">
        <v>1500</v>
      </c>
      <c r="K96">
        <v>1</v>
      </c>
      <c r="L96" s="188">
        <f t="shared" si="16"/>
        <v>1500</v>
      </c>
      <c r="M96" t="s">
        <v>545</v>
      </c>
      <c r="N96" t="s">
        <v>546</v>
      </c>
      <c r="S96" s="171">
        <f t="shared" si="19"/>
        <v>0</v>
      </c>
      <c r="U96" s="194">
        <f t="shared" si="20"/>
        <v>0</v>
      </c>
      <c r="W96" s="195">
        <f t="shared" si="21"/>
        <v>0</v>
      </c>
      <c r="AF96" s="171">
        <f t="shared" si="22"/>
        <v>0</v>
      </c>
      <c r="AH96" s="195">
        <f t="shared" si="23"/>
        <v>0</v>
      </c>
      <c r="AJ96" s="164">
        <v>0.34</v>
      </c>
      <c r="AK96" s="171">
        <f t="shared" si="17"/>
        <v>4467600.0000000009</v>
      </c>
      <c r="AM96">
        <v>20</v>
      </c>
      <c r="AN96" s="171">
        <f t="shared" si="18"/>
        <v>89352000.000000015</v>
      </c>
      <c r="AO96" s="199">
        <f t="shared" si="24"/>
        <v>59568000.000000007</v>
      </c>
      <c r="AR96" s="195"/>
      <c r="AT96" s="195"/>
      <c r="AV96" s="195">
        <f t="shared" si="25"/>
        <v>0</v>
      </c>
      <c r="AY96" s="195"/>
    </row>
    <row r="97" spans="1:51">
      <c r="A97" s="13" t="str">
        <f t="shared" si="27"/>
        <v>\cite{Rashedi2013}</v>
      </c>
      <c r="B97" t="s">
        <v>540</v>
      </c>
      <c r="C97">
        <v>2013</v>
      </c>
      <c r="E97" s="13">
        <f t="shared" si="15"/>
        <v>2013</v>
      </c>
      <c r="F97" s="155">
        <f>LOOKUP(E97,Total_wind_installed_capacity!$A$3:$A$34,Total_wind_installed_capacity!$H$3:$H$34)</f>
        <v>310.36672750000002</v>
      </c>
      <c r="J97" s="170">
        <v>5000</v>
      </c>
      <c r="K97">
        <v>1</v>
      </c>
      <c r="L97" s="188">
        <f t="shared" si="16"/>
        <v>5000</v>
      </c>
      <c r="M97" t="s">
        <v>545</v>
      </c>
      <c r="N97" t="s">
        <v>546</v>
      </c>
      <c r="O97">
        <v>126</v>
      </c>
      <c r="S97" s="171">
        <f t="shared" si="19"/>
        <v>23827200.000000004</v>
      </c>
      <c r="U97" s="194">
        <f t="shared" si="20"/>
        <v>6618666.6666666679</v>
      </c>
      <c r="W97" s="195">
        <f t="shared" si="21"/>
        <v>4.7654400000000008</v>
      </c>
      <c r="AF97" s="171">
        <f t="shared" si="22"/>
        <v>0</v>
      </c>
      <c r="AH97" s="195">
        <f t="shared" si="23"/>
        <v>0</v>
      </c>
      <c r="AJ97" s="164">
        <v>0.34</v>
      </c>
      <c r="AK97" s="171">
        <f t="shared" si="17"/>
        <v>14892000.000000002</v>
      </c>
      <c r="AM97">
        <v>20</v>
      </c>
      <c r="AN97" s="171">
        <f t="shared" si="18"/>
        <v>297840000.00000006</v>
      </c>
      <c r="AO97" s="199">
        <f t="shared" si="24"/>
        <v>59568000.000000015</v>
      </c>
      <c r="AR97" s="195">
        <f t="shared" si="26"/>
        <v>45</v>
      </c>
      <c r="AT97" s="195">
        <v>0.08</v>
      </c>
      <c r="AV97" s="195">
        <f t="shared" si="25"/>
        <v>2.2222222222222223E-2</v>
      </c>
      <c r="AY97" s="195"/>
    </row>
    <row r="98" spans="1:51">
      <c r="A98" s="13" t="str">
        <f t="shared" si="27"/>
        <v>\cite{Rashedi2013}</v>
      </c>
      <c r="B98" t="s">
        <v>540</v>
      </c>
      <c r="C98">
        <v>2013</v>
      </c>
      <c r="E98" s="13">
        <f t="shared" si="15"/>
        <v>2013</v>
      </c>
      <c r="F98" s="155">
        <f>LOOKUP(E98,Total_wind_installed_capacity!$A$3:$A$34,Total_wind_installed_capacity!$H$3:$H$34)</f>
        <v>310.36672750000002</v>
      </c>
      <c r="J98" s="170">
        <v>5000</v>
      </c>
      <c r="K98">
        <v>1</v>
      </c>
      <c r="L98" s="188">
        <f t="shared" si="16"/>
        <v>5000</v>
      </c>
      <c r="M98" t="s">
        <v>545</v>
      </c>
      <c r="N98" t="s">
        <v>547</v>
      </c>
      <c r="O98">
        <v>126</v>
      </c>
      <c r="S98" s="171">
        <f t="shared" si="19"/>
        <v>44676000</v>
      </c>
      <c r="U98" s="194">
        <f t="shared" si="20"/>
        <v>12410000</v>
      </c>
      <c r="W98" s="195">
        <f t="shared" si="21"/>
        <v>8.9352</v>
      </c>
      <c r="AF98" s="171">
        <f t="shared" si="22"/>
        <v>0</v>
      </c>
      <c r="AH98" s="195">
        <f t="shared" si="23"/>
        <v>0</v>
      </c>
      <c r="AJ98" s="164">
        <v>0.51</v>
      </c>
      <c r="AK98" s="171">
        <f t="shared" si="17"/>
        <v>22338000</v>
      </c>
      <c r="AM98">
        <v>20</v>
      </c>
      <c r="AN98" s="171">
        <f t="shared" si="18"/>
        <v>446760000</v>
      </c>
      <c r="AO98" s="199">
        <f t="shared" si="24"/>
        <v>89352000</v>
      </c>
      <c r="AR98" s="195">
        <f t="shared" si="26"/>
        <v>36</v>
      </c>
      <c r="AT98" s="195">
        <v>0.1</v>
      </c>
      <c r="AV98" s="195">
        <f t="shared" si="25"/>
        <v>2.777777777777778E-2</v>
      </c>
      <c r="AY98" s="195"/>
    </row>
    <row r="99" spans="1:51">
      <c r="A99" s="13" t="str">
        <f t="shared" si="27"/>
        <v>\cite{Rashedi2013}</v>
      </c>
      <c r="B99" t="s">
        <v>540</v>
      </c>
      <c r="C99">
        <v>2013</v>
      </c>
      <c r="E99" s="13">
        <f t="shared" si="15"/>
        <v>2013</v>
      </c>
      <c r="F99" s="155">
        <f>LOOKUP(E99,Total_wind_installed_capacity!$A$3:$A$34,Total_wind_installed_capacity!$H$3:$H$34)</f>
        <v>310.36672750000002</v>
      </c>
      <c r="J99" s="170">
        <v>1600</v>
      </c>
      <c r="K99">
        <v>1</v>
      </c>
      <c r="L99" s="188">
        <f t="shared" si="16"/>
        <v>1600</v>
      </c>
      <c r="M99" t="s">
        <v>548</v>
      </c>
      <c r="N99" t="s">
        <v>546</v>
      </c>
      <c r="O99">
        <v>45.7</v>
      </c>
      <c r="S99" s="171">
        <f t="shared" si="19"/>
        <v>0</v>
      </c>
      <c r="U99" s="194">
        <f t="shared" si="20"/>
        <v>0</v>
      </c>
      <c r="W99" s="195">
        <f t="shared" si="21"/>
        <v>0</v>
      </c>
      <c r="AF99" s="171">
        <f t="shared" si="22"/>
        <v>0</v>
      </c>
      <c r="AH99" s="195">
        <f t="shared" si="23"/>
        <v>0</v>
      </c>
      <c r="AJ99" s="164">
        <v>0.25</v>
      </c>
      <c r="AK99" s="171">
        <f t="shared" si="17"/>
        <v>3504000</v>
      </c>
      <c r="AM99">
        <v>20</v>
      </c>
      <c r="AN99" s="171">
        <f t="shared" si="18"/>
        <v>70080000</v>
      </c>
      <c r="AO99" s="199">
        <f t="shared" si="24"/>
        <v>43800000</v>
      </c>
      <c r="AR99" s="195"/>
      <c r="AT99" s="195"/>
      <c r="AV99" s="195">
        <f t="shared" si="25"/>
        <v>0</v>
      </c>
      <c r="AY99" s="195"/>
    </row>
    <row r="100" spans="1:51">
      <c r="A100" s="13" t="str">
        <f t="shared" si="27"/>
        <v>\cite{Vestas.2013}</v>
      </c>
      <c r="B100" t="s">
        <v>532</v>
      </c>
      <c r="C100">
        <v>2013</v>
      </c>
      <c r="E100" s="13">
        <f t="shared" si="15"/>
        <v>2013</v>
      </c>
      <c r="F100" s="155">
        <f>LOOKUP(E100,Total_wind_installed_capacity!$A$3:$A$34,Total_wind_installed_capacity!$H$3:$H$34)</f>
        <v>310.36672750000002</v>
      </c>
      <c r="J100" s="170">
        <v>3000</v>
      </c>
      <c r="K100">
        <v>1</v>
      </c>
      <c r="L100" s="188">
        <f t="shared" si="16"/>
        <v>3000</v>
      </c>
      <c r="M100" t="s">
        <v>545</v>
      </c>
      <c r="N100" t="s">
        <v>546</v>
      </c>
      <c r="O100">
        <v>90</v>
      </c>
      <c r="S100" s="171">
        <f t="shared" si="19"/>
        <v>0</v>
      </c>
      <c r="U100" s="194">
        <f t="shared" si="20"/>
        <v>0</v>
      </c>
      <c r="W100" s="195">
        <f t="shared" si="21"/>
        <v>0</v>
      </c>
      <c r="AF100" s="171">
        <f t="shared" si="22"/>
        <v>1336075.2</v>
      </c>
      <c r="AH100" s="195">
        <f t="shared" si="23"/>
        <v>0.44535839999999999</v>
      </c>
      <c r="AJ100" s="164">
        <v>0.41</v>
      </c>
      <c r="AK100" s="171">
        <f t="shared" si="17"/>
        <v>10774800</v>
      </c>
      <c r="AM100">
        <v>20</v>
      </c>
      <c r="AN100" s="171">
        <f t="shared" si="18"/>
        <v>215496000</v>
      </c>
      <c r="AO100" s="199">
        <f t="shared" si="24"/>
        <v>71832000</v>
      </c>
      <c r="AR100" s="195"/>
      <c r="AT100" s="195"/>
      <c r="AV100" s="195">
        <f t="shared" si="25"/>
        <v>0</v>
      </c>
      <c r="AY100" s="195">
        <v>6.2</v>
      </c>
    </row>
    <row r="101" spans="1:51">
      <c r="A101" s="13" t="str">
        <f t="shared" si="27"/>
        <v>\cite{Vestas.2013}</v>
      </c>
      <c r="B101" t="s">
        <v>532</v>
      </c>
      <c r="C101">
        <v>2013</v>
      </c>
      <c r="E101" s="13">
        <f t="shared" si="15"/>
        <v>2013</v>
      </c>
      <c r="F101" s="155">
        <f>LOOKUP(E101,Total_wind_installed_capacity!$A$3:$A$34,Total_wind_installed_capacity!$H$3:$H$34)</f>
        <v>310.36672750000002</v>
      </c>
      <c r="J101" s="170">
        <v>2600</v>
      </c>
      <c r="K101">
        <v>1</v>
      </c>
      <c r="L101" s="188">
        <f t="shared" si="16"/>
        <v>2600</v>
      </c>
      <c r="M101" t="s">
        <v>545</v>
      </c>
      <c r="N101" t="s">
        <v>546</v>
      </c>
      <c r="O101">
        <v>100</v>
      </c>
      <c r="S101" s="171">
        <f t="shared" si="19"/>
        <v>0</v>
      </c>
      <c r="U101" s="194">
        <f t="shared" si="20"/>
        <v>0</v>
      </c>
      <c r="W101" s="195">
        <f t="shared" si="21"/>
        <v>0</v>
      </c>
      <c r="AF101" s="171">
        <f t="shared" si="22"/>
        <v>1367471.04</v>
      </c>
      <c r="AH101" s="195">
        <f t="shared" si="23"/>
        <v>0.52595040000000004</v>
      </c>
      <c r="AJ101" s="164">
        <v>0.38</v>
      </c>
      <c r="AK101" s="171">
        <f t="shared" si="17"/>
        <v>8654880</v>
      </c>
      <c r="AM101">
        <v>20</v>
      </c>
      <c r="AN101" s="171">
        <f t="shared" si="18"/>
        <v>173097600</v>
      </c>
      <c r="AO101" s="199">
        <f t="shared" si="24"/>
        <v>66576000</v>
      </c>
      <c r="AR101" s="195"/>
      <c r="AT101" s="195"/>
      <c r="AV101" s="195">
        <f t="shared" si="25"/>
        <v>0</v>
      </c>
      <c r="AY101" s="195">
        <v>7.9</v>
      </c>
    </row>
    <row r="102" spans="1:51">
      <c r="A102" s="13" t="str">
        <f t="shared" si="27"/>
        <v>\cite{Gamesa.2013}</v>
      </c>
      <c r="B102" t="s">
        <v>530</v>
      </c>
      <c r="C102">
        <v>2013</v>
      </c>
      <c r="E102" s="13">
        <f t="shared" si="15"/>
        <v>2013</v>
      </c>
      <c r="F102" s="155">
        <f>LOOKUP(E102,Total_wind_installed_capacity!$A$3:$A$34,Total_wind_installed_capacity!$H$3:$H$34)</f>
        <v>310.36672750000002</v>
      </c>
      <c r="J102" s="170">
        <v>2000</v>
      </c>
      <c r="K102">
        <v>1</v>
      </c>
      <c r="L102" s="188">
        <f t="shared" si="16"/>
        <v>2000</v>
      </c>
      <c r="M102" t="s">
        <v>545</v>
      </c>
      <c r="N102" t="s">
        <v>546</v>
      </c>
      <c r="O102">
        <v>90</v>
      </c>
      <c r="S102" s="171">
        <f t="shared" si="19"/>
        <v>67697280</v>
      </c>
      <c r="U102" s="194">
        <f t="shared" si="20"/>
        <v>18804800</v>
      </c>
      <c r="W102" s="195">
        <f t="shared" si="21"/>
        <v>33.848639999999996</v>
      </c>
      <c r="AF102" s="171">
        <f t="shared" si="22"/>
        <v>1242728.6399999999</v>
      </c>
      <c r="AH102" s="195">
        <f t="shared" si="23"/>
        <v>0.62136431999999986</v>
      </c>
      <c r="AJ102" s="164">
        <v>0.46</v>
      </c>
      <c r="AK102" s="171">
        <f t="shared" si="17"/>
        <v>8059200</v>
      </c>
      <c r="AM102">
        <v>20</v>
      </c>
      <c r="AN102" s="171">
        <f t="shared" si="18"/>
        <v>161184000</v>
      </c>
      <c r="AO102" s="199">
        <f t="shared" si="24"/>
        <v>80592000</v>
      </c>
      <c r="AR102" s="195">
        <f t="shared" si="26"/>
        <v>8.571428571428573</v>
      </c>
      <c r="AT102" s="195">
        <v>0.42</v>
      </c>
      <c r="AV102" s="195">
        <f t="shared" si="25"/>
        <v>0.11666666666666665</v>
      </c>
      <c r="AY102" s="195">
        <v>7.71</v>
      </c>
    </row>
    <row r="103" spans="1:51">
      <c r="A103" s="13" t="str">
        <f t="shared" si="27"/>
        <v>\cite{Guezuraga2012}</v>
      </c>
      <c r="B103" t="s">
        <v>397</v>
      </c>
      <c r="C103">
        <v>2012</v>
      </c>
      <c r="E103" s="13">
        <f t="shared" si="15"/>
        <v>2012</v>
      </c>
      <c r="F103" s="155">
        <f>LOOKUP(E103,Total_wind_installed_capacity!$A$3:$A$34,Total_wind_installed_capacity!$H$3:$H$34)</f>
        <v>270.84683750000005</v>
      </c>
      <c r="J103" s="170">
        <v>1800</v>
      </c>
      <c r="K103">
        <v>1</v>
      </c>
      <c r="L103" s="188">
        <f t="shared" si="16"/>
        <v>1800</v>
      </c>
      <c r="M103" t="s">
        <v>545</v>
      </c>
      <c r="N103" t="s">
        <v>546</v>
      </c>
      <c r="S103" s="171">
        <f t="shared" si="19"/>
        <v>23588928</v>
      </c>
      <c r="U103" s="194">
        <f t="shared" si="20"/>
        <v>6552480</v>
      </c>
      <c r="W103" s="195">
        <f t="shared" si="21"/>
        <v>13.104959999999998</v>
      </c>
      <c r="AF103" s="171">
        <f t="shared" si="22"/>
        <v>2691282.24</v>
      </c>
      <c r="AH103" s="195">
        <f t="shared" si="23"/>
        <v>1.4951568000000002</v>
      </c>
      <c r="AJ103" s="164">
        <v>0.34</v>
      </c>
      <c r="AK103" s="171">
        <f t="shared" si="17"/>
        <v>5361120</v>
      </c>
      <c r="AM103">
        <v>20</v>
      </c>
      <c r="AN103" s="171">
        <f t="shared" si="18"/>
        <v>107222400</v>
      </c>
      <c r="AO103" s="199">
        <f t="shared" si="24"/>
        <v>59568000</v>
      </c>
      <c r="AR103" s="195">
        <f t="shared" si="26"/>
        <v>16.363636363636363</v>
      </c>
      <c r="AT103" s="195">
        <v>0.22</v>
      </c>
      <c r="AV103" s="195">
        <f t="shared" si="25"/>
        <v>6.1111111111111109E-2</v>
      </c>
      <c r="AY103" s="195">
        <v>25.1</v>
      </c>
    </row>
    <row r="104" spans="1:51">
      <c r="A104" s="13" t="str">
        <f t="shared" si="27"/>
        <v>\cite{Guezuraga2012}</v>
      </c>
      <c r="B104" t="s">
        <v>397</v>
      </c>
      <c r="C104">
        <v>2012</v>
      </c>
      <c r="E104" s="13">
        <f t="shared" si="15"/>
        <v>2012</v>
      </c>
      <c r="F104" s="155">
        <f>LOOKUP(E104,Total_wind_installed_capacity!$A$3:$A$34,Total_wind_installed_capacity!$H$3:$H$34)</f>
        <v>270.84683750000005</v>
      </c>
      <c r="J104" s="170">
        <v>2000</v>
      </c>
      <c r="K104">
        <v>1</v>
      </c>
      <c r="L104" s="188">
        <f t="shared" si="16"/>
        <v>2000</v>
      </c>
      <c r="M104" t="s">
        <v>545</v>
      </c>
      <c r="N104" t="s">
        <v>546</v>
      </c>
      <c r="S104" s="171">
        <f t="shared" si="19"/>
        <v>9565920</v>
      </c>
      <c r="U104" s="194">
        <f t="shared" si="20"/>
        <v>2657200</v>
      </c>
      <c r="W104" s="195">
        <f t="shared" si="21"/>
        <v>4.7829600000000001</v>
      </c>
      <c r="AF104" s="171">
        <f t="shared" si="22"/>
        <v>1309795.2</v>
      </c>
      <c r="AH104" s="195">
        <f t="shared" si="23"/>
        <v>0.65489759999999997</v>
      </c>
      <c r="AJ104" s="164">
        <v>0.21</v>
      </c>
      <c r="AK104" s="171">
        <f t="shared" si="17"/>
        <v>3679200</v>
      </c>
      <c r="AM104">
        <v>20</v>
      </c>
      <c r="AN104" s="171">
        <f t="shared" si="18"/>
        <v>73584000</v>
      </c>
      <c r="AO104" s="199">
        <f t="shared" si="24"/>
        <v>36792000</v>
      </c>
      <c r="AR104" s="195">
        <f t="shared" si="26"/>
        <v>27.69230769230769</v>
      </c>
      <c r="AT104" s="195">
        <v>0.13</v>
      </c>
      <c r="AV104" s="195">
        <f t="shared" si="25"/>
        <v>3.6111111111111115E-2</v>
      </c>
      <c r="AY104" s="195">
        <v>17.8</v>
      </c>
    </row>
    <row r="105" spans="1:51">
      <c r="A105" s="13" t="str">
        <f t="shared" si="27"/>
        <v>\cite{Kabir2012}</v>
      </c>
      <c r="B105" t="s">
        <v>401</v>
      </c>
      <c r="C105">
        <v>2012</v>
      </c>
      <c r="E105" s="13">
        <f t="shared" si="15"/>
        <v>2012</v>
      </c>
      <c r="F105" s="155">
        <f>LOOKUP(E105,Total_wind_installed_capacity!$A$3:$A$34,Total_wind_installed_capacity!$H$3:$H$34)</f>
        <v>270.84683750000005</v>
      </c>
      <c r="J105" s="170">
        <v>5</v>
      </c>
      <c r="K105">
        <v>1</v>
      </c>
      <c r="L105" s="188">
        <f t="shared" si="16"/>
        <v>5</v>
      </c>
      <c r="M105" t="s">
        <v>545</v>
      </c>
      <c r="N105" t="s">
        <v>546</v>
      </c>
      <c r="S105" s="171">
        <f t="shared" si="19"/>
        <v>0</v>
      </c>
      <c r="U105" s="194">
        <f t="shared" si="20"/>
        <v>0</v>
      </c>
      <c r="W105" s="195">
        <f t="shared" si="21"/>
        <v>0</v>
      </c>
      <c r="AF105" s="171">
        <f t="shared" si="22"/>
        <v>10753.995000000004</v>
      </c>
      <c r="AH105" s="195">
        <f t="shared" si="23"/>
        <v>2.150799000000001</v>
      </c>
      <c r="AJ105" s="164">
        <v>0.23</v>
      </c>
      <c r="AK105" s="171">
        <f t="shared" si="17"/>
        <v>10074.000000000002</v>
      </c>
      <c r="AM105">
        <v>25</v>
      </c>
      <c r="AN105" s="171">
        <f t="shared" si="18"/>
        <v>251850.00000000006</v>
      </c>
      <c r="AO105" s="199">
        <f t="shared" si="24"/>
        <v>50370000.000000015</v>
      </c>
      <c r="AR105" s="195"/>
      <c r="AT105" s="195"/>
      <c r="AV105" s="195">
        <f t="shared" si="25"/>
        <v>0</v>
      </c>
      <c r="AY105" s="195">
        <v>42.7</v>
      </c>
    </row>
    <row r="106" spans="1:51">
      <c r="A106" s="13" t="str">
        <f t="shared" si="27"/>
        <v>\cite{Kabir2012}</v>
      </c>
      <c r="B106" t="s">
        <v>401</v>
      </c>
      <c r="C106">
        <v>2012</v>
      </c>
      <c r="E106" s="13">
        <f t="shared" si="15"/>
        <v>2012</v>
      </c>
      <c r="F106" s="155">
        <f>LOOKUP(E106,Total_wind_installed_capacity!$A$3:$A$34,Total_wind_installed_capacity!$H$3:$H$34)</f>
        <v>270.84683750000005</v>
      </c>
      <c r="J106" s="170">
        <v>20</v>
      </c>
      <c r="K106">
        <v>1</v>
      </c>
      <c r="L106" s="188">
        <f t="shared" si="16"/>
        <v>20</v>
      </c>
      <c r="M106" t="s">
        <v>545</v>
      </c>
      <c r="N106" t="s">
        <v>546</v>
      </c>
      <c r="S106" s="171">
        <f t="shared" si="19"/>
        <v>0</v>
      </c>
      <c r="U106" s="194">
        <f t="shared" si="20"/>
        <v>0</v>
      </c>
      <c r="W106" s="195">
        <f t="shared" si="21"/>
        <v>0</v>
      </c>
      <c r="AF106" s="171">
        <f t="shared" si="22"/>
        <v>24186.36</v>
      </c>
      <c r="AH106" s="195">
        <f t="shared" si="23"/>
        <v>1.2093179999999999</v>
      </c>
      <c r="AJ106" s="164">
        <v>0.22</v>
      </c>
      <c r="AK106" s="171">
        <f t="shared" si="17"/>
        <v>38544</v>
      </c>
      <c r="AM106">
        <v>25</v>
      </c>
      <c r="AN106" s="171">
        <f t="shared" si="18"/>
        <v>963600</v>
      </c>
      <c r="AO106" s="199">
        <f t="shared" si="24"/>
        <v>48180000</v>
      </c>
      <c r="AR106" s="195"/>
      <c r="AT106" s="195"/>
      <c r="AV106" s="195">
        <f t="shared" si="25"/>
        <v>0</v>
      </c>
      <c r="AY106" s="195">
        <v>25.1</v>
      </c>
    </row>
    <row r="107" spans="1:51">
      <c r="A107" s="13" t="str">
        <f t="shared" si="27"/>
        <v>\cite{Kabir2012}</v>
      </c>
      <c r="B107" t="s">
        <v>401</v>
      </c>
      <c r="C107">
        <v>2012</v>
      </c>
      <c r="E107" s="13">
        <f t="shared" si="15"/>
        <v>2012</v>
      </c>
      <c r="F107" s="155">
        <f>LOOKUP(E107,Total_wind_installed_capacity!$A$3:$A$34,Total_wind_installed_capacity!$H$3:$H$34)</f>
        <v>270.84683750000005</v>
      </c>
      <c r="J107" s="170">
        <v>100</v>
      </c>
      <c r="K107">
        <v>1</v>
      </c>
      <c r="L107" s="188">
        <f t="shared" si="16"/>
        <v>100</v>
      </c>
      <c r="M107" t="s">
        <v>545</v>
      </c>
      <c r="N107" t="s">
        <v>546</v>
      </c>
      <c r="S107" s="171">
        <f t="shared" si="19"/>
        <v>0</v>
      </c>
      <c r="U107" s="194">
        <f t="shared" si="20"/>
        <v>0</v>
      </c>
      <c r="W107" s="195">
        <f t="shared" si="21"/>
        <v>0</v>
      </c>
      <c r="AF107" s="171">
        <f t="shared" si="22"/>
        <v>93556.800000000003</v>
      </c>
      <c r="AH107" s="195">
        <f t="shared" si="23"/>
        <v>0.93556799999999996</v>
      </c>
      <c r="AJ107" s="164">
        <v>0.24</v>
      </c>
      <c r="AK107" s="171">
        <f t="shared" si="17"/>
        <v>210240</v>
      </c>
      <c r="AM107">
        <v>25</v>
      </c>
      <c r="AN107" s="171">
        <f t="shared" si="18"/>
        <v>5256000</v>
      </c>
      <c r="AO107" s="199">
        <f t="shared" si="24"/>
        <v>52560000</v>
      </c>
      <c r="AR107" s="195"/>
      <c r="AT107" s="195"/>
      <c r="AV107" s="195">
        <f t="shared" si="25"/>
        <v>0</v>
      </c>
      <c r="AY107" s="195">
        <v>17.8</v>
      </c>
    </row>
    <row r="108" spans="1:51">
      <c r="A108" s="13" t="str">
        <f t="shared" si="27"/>
        <v>\cite{Wang2012}</v>
      </c>
      <c r="B108" t="s">
        <v>26</v>
      </c>
      <c r="C108">
        <v>2012</v>
      </c>
      <c r="E108" s="13">
        <f t="shared" si="15"/>
        <v>2012</v>
      </c>
      <c r="F108" s="155">
        <f>LOOKUP(E108,Total_wind_installed_capacity!$A$3:$A$34,Total_wind_installed_capacity!$H$3:$H$34)</f>
        <v>270.84683750000005</v>
      </c>
      <c r="J108" s="170">
        <v>1650</v>
      </c>
      <c r="K108">
        <v>1</v>
      </c>
      <c r="L108" s="188">
        <f t="shared" si="16"/>
        <v>1650</v>
      </c>
      <c r="M108" t="s">
        <v>545</v>
      </c>
      <c r="N108" t="s">
        <v>546</v>
      </c>
      <c r="S108" s="171">
        <f t="shared" si="19"/>
        <v>0</v>
      </c>
      <c r="U108" s="194">
        <f t="shared" si="20"/>
        <v>0</v>
      </c>
      <c r="W108" s="195">
        <f t="shared" si="21"/>
        <v>0</v>
      </c>
      <c r="AF108" s="171">
        <f t="shared" si="22"/>
        <v>1943773.9199999997</v>
      </c>
      <c r="AH108" s="195">
        <f t="shared" si="23"/>
        <v>1.1780447999999999</v>
      </c>
      <c r="AJ108" s="164">
        <v>0.41</v>
      </c>
      <c r="AK108" s="171">
        <f t="shared" si="17"/>
        <v>5926140</v>
      </c>
      <c r="AM108">
        <v>20</v>
      </c>
      <c r="AN108" s="171">
        <f t="shared" si="18"/>
        <v>118522800</v>
      </c>
      <c r="AO108" s="199">
        <f t="shared" si="24"/>
        <v>71832000</v>
      </c>
      <c r="AR108" s="195"/>
      <c r="AT108" s="195"/>
      <c r="AV108" s="195">
        <f t="shared" si="25"/>
        <v>0</v>
      </c>
      <c r="AY108" s="195">
        <v>16.399999999999999</v>
      </c>
    </row>
    <row r="109" spans="1:51">
      <c r="A109" s="13" t="str">
        <f t="shared" si="27"/>
        <v>\cite{Wang2012}</v>
      </c>
      <c r="B109" t="s">
        <v>26</v>
      </c>
      <c r="C109">
        <v>2012</v>
      </c>
      <c r="E109" s="13">
        <f t="shared" si="15"/>
        <v>2012</v>
      </c>
      <c r="F109" s="155">
        <f>LOOKUP(E109,Total_wind_installed_capacity!$A$3:$A$34,Total_wind_installed_capacity!$H$3:$H$34)</f>
        <v>270.84683750000005</v>
      </c>
      <c r="J109" s="170">
        <v>3000</v>
      </c>
      <c r="K109">
        <v>1</v>
      </c>
      <c r="L109" s="188">
        <f t="shared" si="16"/>
        <v>3000</v>
      </c>
      <c r="M109" t="s">
        <v>545</v>
      </c>
      <c r="N109" t="s">
        <v>547</v>
      </c>
      <c r="Q109" t="s">
        <v>560</v>
      </c>
      <c r="S109" s="171">
        <f t="shared" si="19"/>
        <v>0</v>
      </c>
      <c r="U109" s="194">
        <f t="shared" si="20"/>
        <v>0</v>
      </c>
      <c r="W109" s="195">
        <f t="shared" si="21"/>
        <v>0</v>
      </c>
      <c r="AF109" s="171">
        <f t="shared" si="22"/>
        <v>3888388.8</v>
      </c>
      <c r="AH109" s="195">
        <f t="shared" si="23"/>
        <v>1.2961296</v>
      </c>
      <c r="AJ109" s="164">
        <v>0.54</v>
      </c>
      <c r="AK109" s="171">
        <f t="shared" si="17"/>
        <v>14191200</v>
      </c>
      <c r="AM109">
        <v>20</v>
      </c>
      <c r="AN109" s="171">
        <f t="shared" si="18"/>
        <v>283824000</v>
      </c>
      <c r="AO109" s="199">
        <f t="shared" si="24"/>
        <v>94608000</v>
      </c>
      <c r="AR109" s="195"/>
      <c r="AT109" s="195"/>
      <c r="AV109" s="195">
        <f t="shared" si="25"/>
        <v>0</v>
      </c>
      <c r="AY109" s="195">
        <v>13.7</v>
      </c>
    </row>
    <row r="110" spans="1:51">
      <c r="A110" s="13" t="str">
        <f t="shared" si="27"/>
        <v>\cite{Wang2012}</v>
      </c>
      <c r="B110" t="s">
        <v>26</v>
      </c>
      <c r="C110">
        <v>2012</v>
      </c>
      <c r="E110" s="13">
        <f t="shared" si="15"/>
        <v>2012</v>
      </c>
      <c r="F110" s="155">
        <f>LOOKUP(E110,Total_wind_installed_capacity!$A$3:$A$34,Total_wind_installed_capacity!$H$3:$H$34)</f>
        <v>270.84683750000005</v>
      </c>
      <c r="J110" s="170">
        <v>3000</v>
      </c>
      <c r="K110">
        <v>1</v>
      </c>
      <c r="L110" s="188">
        <f t="shared" si="16"/>
        <v>3000</v>
      </c>
      <c r="M110" t="s">
        <v>545</v>
      </c>
      <c r="N110" t="s">
        <v>546</v>
      </c>
      <c r="S110" s="171">
        <f t="shared" si="19"/>
        <v>77263200</v>
      </c>
      <c r="U110" s="194">
        <f t="shared" si="20"/>
        <v>21462000</v>
      </c>
      <c r="W110" s="195">
        <f t="shared" si="21"/>
        <v>25.7544</v>
      </c>
      <c r="AF110" s="171">
        <f t="shared" si="22"/>
        <v>5045760</v>
      </c>
      <c r="AH110" s="195">
        <f t="shared" si="23"/>
        <v>1.6819200000000001</v>
      </c>
      <c r="AJ110" s="164">
        <v>0.3</v>
      </c>
      <c r="AK110" s="171">
        <f t="shared" si="17"/>
        <v>7884000</v>
      </c>
      <c r="AM110">
        <v>20</v>
      </c>
      <c r="AN110" s="171">
        <f t="shared" si="18"/>
        <v>157680000</v>
      </c>
      <c r="AO110" s="199">
        <f t="shared" si="24"/>
        <v>52560000</v>
      </c>
      <c r="AR110" s="195">
        <f t="shared" si="26"/>
        <v>7.3469387755102051</v>
      </c>
      <c r="AT110" s="195">
        <v>0.49</v>
      </c>
      <c r="AV110" s="195">
        <f t="shared" si="25"/>
        <v>0.1361111111111111</v>
      </c>
      <c r="AY110" s="195">
        <v>32</v>
      </c>
    </row>
    <row r="111" spans="1:51">
      <c r="A111" s="13" t="str">
        <f t="shared" si="27"/>
        <v>\cite{Arvesen2011}</v>
      </c>
      <c r="B111" t="s">
        <v>541</v>
      </c>
      <c r="C111">
        <v>2011</v>
      </c>
      <c r="E111" s="13">
        <f t="shared" si="15"/>
        <v>2011</v>
      </c>
      <c r="F111" s="155">
        <f>LOOKUP(E111,Total_wind_installed_capacity!$A$3:$A$34,Total_wind_installed_capacity!$H$3:$H$34)</f>
        <v>227.632904</v>
      </c>
      <c r="J111" s="170">
        <v>2500</v>
      </c>
      <c r="K111">
        <v>1</v>
      </c>
      <c r="L111" s="188">
        <f t="shared" si="16"/>
        <v>2500</v>
      </c>
      <c r="M111" t="s">
        <v>545</v>
      </c>
      <c r="N111" t="s">
        <v>546</v>
      </c>
      <c r="S111" s="171">
        <f t="shared" si="19"/>
        <v>14716800.000000002</v>
      </c>
      <c r="U111" s="194">
        <f t="shared" si="20"/>
        <v>4088000.0000000005</v>
      </c>
      <c r="W111" s="195">
        <f t="shared" si="21"/>
        <v>5.8867200000000013</v>
      </c>
      <c r="AF111" s="171">
        <f t="shared" si="22"/>
        <v>1555776</v>
      </c>
      <c r="AH111" s="195">
        <f t="shared" si="23"/>
        <v>0.62231039999999993</v>
      </c>
      <c r="AJ111" s="164">
        <v>0.24</v>
      </c>
      <c r="AK111" s="171">
        <f t="shared" si="17"/>
        <v>5256000</v>
      </c>
      <c r="AM111">
        <v>20</v>
      </c>
      <c r="AN111" s="171">
        <f t="shared" si="18"/>
        <v>105120000</v>
      </c>
      <c r="AO111" s="199">
        <f t="shared" si="24"/>
        <v>42048000</v>
      </c>
      <c r="AR111" s="195">
        <f t="shared" si="26"/>
        <v>25.714285714285715</v>
      </c>
      <c r="AT111" s="195">
        <v>0.14000000000000001</v>
      </c>
      <c r="AV111" s="195">
        <f t="shared" si="25"/>
        <v>3.888888888888889E-2</v>
      </c>
      <c r="AY111" s="195">
        <v>14.8</v>
      </c>
    </row>
    <row r="112" spans="1:51">
      <c r="A112" s="13" t="str">
        <f t="shared" si="27"/>
        <v>\cite{Arvesen2011}</v>
      </c>
      <c r="B112" t="s">
        <v>541</v>
      </c>
      <c r="C112">
        <v>2011</v>
      </c>
      <c r="E112" s="13">
        <f t="shared" si="15"/>
        <v>2011</v>
      </c>
      <c r="F112" s="155">
        <f>LOOKUP(E112,Total_wind_installed_capacity!$A$3:$A$34,Total_wind_installed_capacity!$H$3:$H$34)</f>
        <v>227.632904</v>
      </c>
      <c r="J112" s="170">
        <v>2500</v>
      </c>
      <c r="K112">
        <v>1</v>
      </c>
      <c r="L112" s="188">
        <f t="shared" si="16"/>
        <v>2500</v>
      </c>
      <c r="M112" t="s">
        <v>545</v>
      </c>
      <c r="N112" t="s">
        <v>547</v>
      </c>
      <c r="Q112" t="s">
        <v>560</v>
      </c>
      <c r="S112" s="171">
        <f t="shared" si="19"/>
        <v>31207500</v>
      </c>
      <c r="U112" s="194">
        <f t="shared" si="20"/>
        <v>8668750</v>
      </c>
      <c r="W112" s="195">
        <f t="shared" si="21"/>
        <v>12.483000000000001</v>
      </c>
      <c r="AF112" s="171">
        <f t="shared" si="22"/>
        <v>2559015</v>
      </c>
      <c r="AH112" s="195">
        <f t="shared" si="23"/>
        <v>1.023606</v>
      </c>
      <c r="AJ112" s="164">
        <v>0.38</v>
      </c>
      <c r="AK112" s="171">
        <f t="shared" si="17"/>
        <v>8322000</v>
      </c>
      <c r="AM112">
        <v>25</v>
      </c>
      <c r="AN112" s="171">
        <f t="shared" si="18"/>
        <v>208050000</v>
      </c>
      <c r="AO112" s="199">
        <f t="shared" si="24"/>
        <v>83220000</v>
      </c>
      <c r="AR112" s="195">
        <f t="shared" si="26"/>
        <v>24</v>
      </c>
      <c r="AT112" s="195">
        <v>0.15</v>
      </c>
      <c r="AV112" s="195">
        <f t="shared" si="25"/>
        <v>4.1666666666666664E-2</v>
      </c>
      <c r="AY112" s="195">
        <v>12.3</v>
      </c>
    </row>
    <row r="113" spans="1:51">
      <c r="A113" s="13" t="str">
        <f t="shared" si="27"/>
        <v>\cite{Wagner2011}</v>
      </c>
      <c r="B113" t="s">
        <v>413</v>
      </c>
      <c r="C113">
        <v>2011</v>
      </c>
      <c r="E113" s="13">
        <f t="shared" si="15"/>
        <v>2011</v>
      </c>
      <c r="F113" s="155">
        <f>LOOKUP(E113,Total_wind_installed_capacity!$A$3:$A$34,Total_wind_installed_capacity!$H$3:$H$34)</f>
        <v>227.632904</v>
      </c>
      <c r="J113" s="170">
        <v>5000</v>
      </c>
      <c r="K113">
        <v>1</v>
      </c>
      <c r="L113" s="188">
        <f t="shared" si="16"/>
        <v>5000</v>
      </c>
      <c r="M113" t="s">
        <v>545</v>
      </c>
      <c r="N113" t="s">
        <v>547</v>
      </c>
      <c r="S113" s="171" t="e">
        <f t="shared" si="19"/>
        <v>#VALUE!</v>
      </c>
      <c r="U113" s="194" t="e">
        <f t="shared" si="20"/>
        <v>#VALUE!</v>
      </c>
      <c r="W113" s="195" t="e">
        <f t="shared" si="21"/>
        <v>#VALUE!</v>
      </c>
      <c r="AF113" s="171">
        <f t="shared" si="22"/>
        <v>12614400</v>
      </c>
      <c r="AH113" s="195">
        <f t="shared" si="23"/>
        <v>2.5228800000000002</v>
      </c>
      <c r="AJ113" s="164">
        <v>0.45</v>
      </c>
      <c r="AK113" s="171">
        <f t="shared" si="17"/>
        <v>19710000</v>
      </c>
      <c r="AM113">
        <v>20</v>
      </c>
      <c r="AN113" s="171">
        <f t="shared" si="18"/>
        <v>394200000</v>
      </c>
      <c r="AO113" s="199">
        <f t="shared" si="24"/>
        <v>78840000</v>
      </c>
      <c r="AR113" s="195"/>
      <c r="AT113" s="195" t="s">
        <v>549</v>
      </c>
      <c r="AV113" s="195" t="e">
        <f t="shared" si="25"/>
        <v>#VALUE!</v>
      </c>
      <c r="AY113" s="195">
        <v>32</v>
      </c>
    </row>
    <row r="114" spans="1:51">
      <c r="A114" s="13" t="str">
        <f t="shared" si="27"/>
        <v>\cite{Zhong2011}</v>
      </c>
      <c r="B114" t="s">
        <v>542</v>
      </c>
      <c r="C114">
        <v>2011</v>
      </c>
      <c r="E114" s="13">
        <f t="shared" si="15"/>
        <v>2011</v>
      </c>
      <c r="F114" s="155">
        <f>LOOKUP(E114,Total_wind_installed_capacity!$A$3:$A$34,Total_wind_installed_capacity!$H$3:$H$34)</f>
        <v>227.632904</v>
      </c>
      <c r="J114" s="170">
        <v>600</v>
      </c>
      <c r="K114">
        <v>1</v>
      </c>
      <c r="L114" s="188">
        <f t="shared" si="16"/>
        <v>600</v>
      </c>
      <c r="M114" t="s">
        <v>545</v>
      </c>
      <c r="N114" t="s">
        <v>546</v>
      </c>
      <c r="S114" s="171">
        <f t="shared" si="19"/>
        <v>2365200</v>
      </c>
      <c r="U114" s="194">
        <f t="shared" si="20"/>
        <v>657000</v>
      </c>
      <c r="W114" s="195">
        <f t="shared" si="21"/>
        <v>3.9420000000000002</v>
      </c>
      <c r="AF114" s="171">
        <f t="shared" si="22"/>
        <v>0</v>
      </c>
      <c r="AH114" s="195">
        <f t="shared" si="23"/>
        <v>0</v>
      </c>
      <c r="AJ114" s="164">
        <v>0.25</v>
      </c>
      <c r="AK114" s="171">
        <f t="shared" si="17"/>
        <v>1314000</v>
      </c>
      <c r="AM114">
        <v>20</v>
      </c>
      <c r="AN114" s="171">
        <f t="shared" si="18"/>
        <v>26280000</v>
      </c>
      <c r="AO114" s="199">
        <f t="shared" si="24"/>
        <v>43800000</v>
      </c>
      <c r="AR114" s="195">
        <f t="shared" si="26"/>
        <v>40</v>
      </c>
      <c r="AT114" s="195">
        <v>0.09</v>
      </c>
      <c r="AV114" s="195">
        <f t="shared" si="25"/>
        <v>2.4999999999999998E-2</v>
      </c>
      <c r="AY114" s="195"/>
    </row>
    <row r="115" spans="1:51">
      <c r="A115" s="13" t="str">
        <f t="shared" si="27"/>
        <v>\cite{Vestas.2011}</v>
      </c>
      <c r="B115" t="s">
        <v>532</v>
      </c>
      <c r="C115">
        <v>2011</v>
      </c>
      <c r="E115" s="13">
        <f t="shared" si="15"/>
        <v>2011</v>
      </c>
      <c r="F115" s="155">
        <f>LOOKUP(E115,Total_wind_installed_capacity!$A$3:$A$34,Total_wind_installed_capacity!$H$3:$H$34)</f>
        <v>227.632904</v>
      </c>
      <c r="J115" s="170">
        <v>2000</v>
      </c>
      <c r="K115">
        <v>1</v>
      </c>
      <c r="L115" s="188">
        <f t="shared" si="16"/>
        <v>2000</v>
      </c>
      <c r="M115" t="s">
        <v>545</v>
      </c>
      <c r="N115" t="s">
        <v>546</v>
      </c>
      <c r="O115">
        <v>80</v>
      </c>
      <c r="S115" s="171">
        <f t="shared" si="19"/>
        <v>0</v>
      </c>
      <c r="U115" s="194">
        <f t="shared" si="20"/>
        <v>0</v>
      </c>
      <c r="W115" s="195">
        <f t="shared" si="21"/>
        <v>0</v>
      </c>
      <c r="AF115" s="171">
        <f t="shared" si="22"/>
        <v>936058.56</v>
      </c>
      <c r="AH115" s="195">
        <f t="shared" si="23"/>
        <v>0.46802928000000005</v>
      </c>
      <c r="AJ115" s="164">
        <v>0.38</v>
      </c>
      <c r="AK115" s="171">
        <f t="shared" si="17"/>
        <v>6657600</v>
      </c>
      <c r="AM115">
        <v>20</v>
      </c>
      <c r="AN115" s="171">
        <f t="shared" si="18"/>
        <v>133152000</v>
      </c>
      <c r="AO115" s="199">
        <f t="shared" si="24"/>
        <v>66576000</v>
      </c>
      <c r="AR115" s="195"/>
      <c r="AT115" s="195"/>
      <c r="AV115" s="195">
        <f t="shared" si="25"/>
        <v>0</v>
      </c>
      <c r="AY115" s="195">
        <v>7.03</v>
      </c>
    </row>
    <row r="116" spans="1:51">
      <c r="A116" s="13" t="str">
        <f t="shared" si="27"/>
        <v>\cite{Vestas.2011}</v>
      </c>
      <c r="B116" t="s">
        <v>532</v>
      </c>
      <c r="C116">
        <v>2011</v>
      </c>
      <c r="E116" s="13">
        <f t="shared" si="15"/>
        <v>2011</v>
      </c>
      <c r="F116" s="155">
        <f>LOOKUP(E116,Total_wind_installed_capacity!$A$3:$A$34,Total_wind_installed_capacity!$H$3:$H$34)</f>
        <v>227.632904</v>
      </c>
      <c r="J116" s="170">
        <v>2000</v>
      </c>
      <c r="K116">
        <v>1</v>
      </c>
      <c r="L116" s="188">
        <f t="shared" si="16"/>
        <v>2000</v>
      </c>
      <c r="M116" t="s">
        <v>545</v>
      </c>
      <c r="N116" t="s">
        <v>546</v>
      </c>
      <c r="O116">
        <v>90</v>
      </c>
      <c r="S116" s="171">
        <f t="shared" si="19"/>
        <v>1160524800</v>
      </c>
      <c r="U116" s="194">
        <f t="shared" si="20"/>
        <v>322368000</v>
      </c>
      <c r="W116" s="195">
        <f t="shared" si="21"/>
        <v>580.26240000000007</v>
      </c>
      <c r="AF116" s="171">
        <f t="shared" si="22"/>
        <v>1223596.8</v>
      </c>
      <c r="AH116" s="195">
        <f t="shared" si="23"/>
        <v>0.61179839999999996</v>
      </c>
      <c r="AJ116" s="164">
        <v>0.36</v>
      </c>
      <c r="AK116" s="171">
        <f t="shared" si="17"/>
        <v>6307200</v>
      </c>
      <c r="AM116">
        <v>20</v>
      </c>
      <c r="AN116" s="171">
        <f t="shared" si="18"/>
        <v>126144000</v>
      </c>
      <c r="AO116" s="199">
        <f t="shared" si="24"/>
        <v>63072000</v>
      </c>
      <c r="AR116" s="195">
        <f t="shared" si="26"/>
        <v>0.39130434782608697</v>
      </c>
      <c r="AT116" s="195">
        <v>9.1999999999999993</v>
      </c>
      <c r="AV116" s="195">
        <f t="shared" si="25"/>
        <v>2.5555555555555554</v>
      </c>
      <c r="AY116" s="195">
        <v>9.6999999999999993</v>
      </c>
    </row>
    <row r="117" spans="1:51">
      <c r="A117" s="13" t="str">
        <f t="shared" si="27"/>
        <v>\cite{Vestas.2011}</v>
      </c>
      <c r="B117" t="s">
        <v>532</v>
      </c>
      <c r="C117">
        <v>2011</v>
      </c>
      <c r="E117" s="13">
        <f t="shared" si="15"/>
        <v>2011</v>
      </c>
      <c r="F117" s="155">
        <f>LOOKUP(E117,Total_wind_installed_capacity!$A$3:$A$34,Total_wind_installed_capacity!$H$3:$H$34)</f>
        <v>227.632904</v>
      </c>
      <c r="J117" s="170">
        <v>1800</v>
      </c>
      <c r="K117">
        <v>1</v>
      </c>
      <c r="L117" s="188">
        <f t="shared" si="16"/>
        <v>1800</v>
      </c>
      <c r="M117" t="s">
        <v>545</v>
      </c>
      <c r="N117" t="s">
        <v>546</v>
      </c>
      <c r="O117">
        <v>100</v>
      </c>
      <c r="S117" s="171">
        <f t="shared" si="19"/>
        <v>352572480</v>
      </c>
      <c r="U117" s="194">
        <f t="shared" si="20"/>
        <v>97936800</v>
      </c>
      <c r="W117" s="195">
        <f t="shared" si="21"/>
        <v>195.87360000000001</v>
      </c>
      <c r="AF117" s="171">
        <f t="shared" si="22"/>
        <v>1261124.6399999999</v>
      </c>
      <c r="AH117" s="195">
        <f t="shared" si="23"/>
        <v>0.70062479999999994</v>
      </c>
      <c r="AJ117" s="164">
        <v>0.43</v>
      </c>
      <c r="AK117" s="171">
        <f t="shared" si="17"/>
        <v>6780240</v>
      </c>
      <c r="AM117">
        <v>20</v>
      </c>
      <c r="AN117" s="171">
        <f t="shared" si="18"/>
        <v>135604800</v>
      </c>
      <c r="AO117" s="199">
        <f t="shared" si="24"/>
        <v>75336000</v>
      </c>
      <c r="AR117" s="195">
        <f t="shared" si="26"/>
        <v>1.3846153846153846</v>
      </c>
      <c r="AT117" s="195">
        <v>2.6</v>
      </c>
      <c r="AV117" s="195">
        <f t="shared" si="25"/>
        <v>0.72222222222222221</v>
      </c>
      <c r="AY117" s="195">
        <v>9.3000000000000007</v>
      </c>
    </row>
    <row r="118" spans="1:51">
      <c r="A118" s="13" t="str">
        <f t="shared" si="27"/>
        <v>\cite{Vestas.2011}</v>
      </c>
      <c r="B118" t="s">
        <v>532</v>
      </c>
      <c r="C118">
        <v>2011</v>
      </c>
      <c r="E118" s="13">
        <f t="shared" si="15"/>
        <v>2011</v>
      </c>
      <c r="F118" s="155">
        <f>LOOKUP(E118,Total_wind_installed_capacity!$A$3:$A$34,Total_wind_installed_capacity!$H$3:$H$34)</f>
        <v>227.632904</v>
      </c>
      <c r="J118" s="170">
        <v>3000</v>
      </c>
      <c r="K118">
        <v>1</v>
      </c>
      <c r="L118" s="188">
        <f t="shared" si="16"/>
        <v>3000</v>
      </c>
      <c r="M118" t="s">
        <v>545</v>
      </c>
      <c r="N118" t="s">
        <v>546</v>
      </c>
      <c r="O118">
        <v>112</v>
      </c>
      <c r="S118" s="171">
        <f t="shared" si="19"/>
        <v>232315200</v>
      </c>
      <c r="U118" s="194">
        <f t="shared" si="20"/>
        <v>64532000</v>
      </c>
      <c r="W118" s="195">
        <f t="shared" si="21"/>
        <v>77.438399999999987</v>
      </c>
      <c r="AF118" s="171">
        <f t="shared" si="22"/>
        <v>956592</v>
      </c>
      <c r="AH118" s="195">
        <f t="shared" si="23"/>
        <v>0.31886399999999998</v>
      </c>
      <c r="AJ118" s="164">
        <v>0.26</v>
      </c>
      <c r="AK118" s="171">
        <f t="shared" si="17"/>
        <v>6832800</v>
      </c>
      <c r="AM118">
        <v>20</v>
      </c>
      <c r="AN118" s="171">
        <f t="shared" si="18"/>
        <v>136656000</v>
      </c>
      <c r="AO118" s="199">
        <f t="shared" si="24"/>
        <v>45552000</v>
      </c>
      <c r="AR118" s="195">
        <f t="shared" si="26"/>
        <v>2.1176470588235294</v>
      </c>
      <c r="AT118" s="195">
        <v>1.7</v>
      </c>
      <c r="AV118" s="195">
        <f t="shared" si="25"/>
        <v>0.47222222222222221</v>
      </c>
      <c r="AY118" s="195">
        <v>7</v>
      </c>
    </row>
    <row r="119" spans="1:51">
      <c r="A119" s="13" t="str">
        <f t="shared" si="27"/>
        <v>\cite{Parsons2011}</v>
      </c>
      <c r="B119" t="s">
        <v>543</v>
      </c>
      <c r="C119">
        <v>2011</v>
      </c>
      <c r="E119" s="13">
        <f t="shared" si="15"/>
        <v>2011</v>
      </c>
      <c r="F119" s="155">
        <f>LOOKUP(E119,Total_wind_installed_capacity!$A$3:$A$34,Total_wind_installed_capacity!$H$3:$H$34)</f>
        <v>227.632904</v>
      </c>
      <c r="J119" s="170">
        <v>10000</v>
      </c>
      <c r="K119">
        <v>1</v>
      </c>
      <c r="L119" s="188">
        <f t="shared" si="16"/>
        <v>10000</v>
      </c>
      <c r="M119" t="s">
        <v>548</v>
      </c>
      <c r="N119" t="s">
        <v>547</v>
      </c>
      <c r="S119" s="171">
        <f t="shared" si="19"/>
        <v>2501856000.0000005</v>
      </c>
      <c r="U119" s="194">
        <f t="shared" si="20"/>
        <v>694960000.00000012</v>
      </c>
      <c r="W119" s="195">
        <f t="shared" si="21"/>
        <v>250.18560000000002</v>
      </c>
      <c r="AF119" s="171">
        <f t="shared" si="22"/>
        <v>0</v>
      </c>
      <c r="AH119" s="195">
        <f t="shared" si="23"/>
        <v>0</v>
      </c>
      <c r="AJ119" s="164">
        <v>0.34</v>
      </c>
      <c r="AK119" s="171">
        <f t="shared" si="17"/>
        <v>29784000.000000004</v>
      </c>
      <c r="AM119">
        <v>20</v>
      </c>
      <c r="AN119" s="171">
        <f t="shared" si="18"/>
        <v>595680000.00000012</v>
      </c>
      <c r="AO119" s="199">
        <f t="shared" si="24"/>
        <v>59568000.000000015</v>
      </c>
      <c r="AR119" s="195">
        <f t="shared" si="26"/>
        <v>0.8571428571428571</v>
      </c>
      <c r="AT119" s="195">
        <v>4.2</v>
      </c>
      <c r="AV119" s="195">
        <f t="shared" si="25"/>
        <v>1.1666666666666667</v>
      </c>
      <c r="AY119" s="195"/>
    </row>
    <row r="120" spans="1:51">
      <c r="A120" s="13" t="str">
        <f t="shared" si="27"/>
        <v>\cite{Amor2010}</v>
      </c>
      <c r="B120" t="s">
        <v>544</v>
      </c>
      <c r="C120">
        <v>2010</v>
      </c>
      <c r="E120" s="13">
        <f t="shared" si="15"/>
        <v>2010</v>
      </c>
      <c r="F120" s="155">
        <f>LOOKUP(E120,Total_wind_installed_capacity!$A$3:$A$34,Total_wind_installed_capacity!$H$3:$H$34)</f>
        <v>183.5233025</v>
      </c>
      <c r="J120" s="170">
        <v>1</v>
      </c>
      <c r="K120">
        <v>1</v>
      </c>
      <c r="L120" s="188">
        <f t="shared" si="16"/>
        <v>1</v>
      </c>
      <c r="M120" t="s">
        <v>545</v>
      </c>
      <c r="N120" t="s">
        <v>546</v>
      </c>
      <c r="S120" s="171">
        <f t="shared" si="19"/>
        <v>15943.2</v>
      </c>
      <c r="U120" s="194">
        <f t="shared" si="20"/>
        <v>4428.666666666667</v>
      </c>
      <c r="W120" s="195">
        <f t="shared" si="21"/>
        <v>15.943200000000001</v>
      </c>
      <c r="AF120" s="171">
        <f t="shared" si="22"/>
        <v>6867.84</v>
      </c>
      <c r="AH120" s="195">
        <f t="shared" si="23"/>
        <v>6.8678400000000002</v>
      </c>
      <c r="AJ120" s="164">
        <v>7.0000000000000007E-2</v>
      </c>
      <c r="AK120" s="171">
        <f t="shared" si="17"/>
        <v>613.20000000000005</v>
      </c>
      <c r="AM120">
        <v>20</v>
      </c>
      <c r="AN120" s="171">
        <f t="shared" si="18"/>
        <v>12264</v>
      </c>
      <c r="AO120" s="199">
        <f t="shared" si="24"/>
        <v>12264000</v>
      </c>
      <c r="AR120" s="195">
        <f t="shared" si="26"/>
        <v>2.7692307692307692</v>
      </c>
      <c r="AT120" s="195">
        <v>1.3</v>
      </c>
      <c r="AV120" s="195">
        <f t="shared" si="25"/>
        <v>0.3611111111111111</v>
      </c>
      <c r="AY120" s="195">
        <v>560</v>
      </c>
    </row>
    <row r="121" spans="1:51">
      <c r="A121" s="13" t="str">
        <f t="shared" si="27"/>
        <v>\cite{Amor2010}</v>
      </c>
      <c r="B121" t="s">
        <v>544</v>
      </c>
      <c r="C121">
        <v>2010</v>
      </c>
      <c r="E121" s="13">
        <f t="shared" si="15"/>
        <v>2010</v>
      </c>
      <c r="F121" s="155">
        <f>LOOKUP(E121,Total_wind_installed_capacity!$A$3:$A$34,Total_wind_installed_capacity!$H$3:$H$34)</f>
        <v>183.5233025</v>
      </c>
      <c r="J121" s="170">
        <v>1</v>
      </c>
      <c r="K121">
        <v>1</v>
      </c>
      <c r="L121" s="188">
        <f t="shared" si="16"/>
        <v>1</v>
      </c>
      <c r="M121" t="s">
        <v>545</v>
      </c>
      <c r="N121" t="s">
        <v>546</v>
      </c>
      <c r="S121" s="171">
        <f t="shared" si="19"/>
        <v>39630.239999999998</v>
      </c>
      <c r="U121" s="194">
        <f t="shared" si="20"/>
        <v>11008.4</v>
      </c>
      <c r="W121" s="195">
        <f t="shared" si="21"/>
        <v>39.630240000000001</v>
      </c>
      <c r="AF121" s="171">
        <f t="shared" si="22"/>
        <v>7288.32</v>
      </c>
      <c r="AH121" s="195">
        <f t="shared" si="23"/>
        <v>7.2883199999999997</v>
      </c>
      <c r="AJ121" s="164">
        <v>0.26</v>
      </c>
      <c r="AK121" s="171">
        <f t="shared" si="17"/>
        <v>2277.6</v>
      </c>
      <c r="AM121">
        <v>20</v>
      </c>
      <c r="AN121" s="171">
        <f t="shared" si="18"/>
        <v>45552</v>
      </c>
      <c r="AO121" s="199">
        <f t="shared" si="24"/>
        <v>45552000</v>
      </c>
      <c r="AR121" s="195">
        <f t="shared" si="26"/>
        <v>4.1379310344827589</v>
      </c>
      <c r="AT121" s="195">
        <v>0.87</v>
      </c>
      <c r="AV121" s="195">
        <f t="shared" si="25"/>
        <v>0.24166666666666667</v>
      </c>
      <c r="AY121" s="195">
        <v>160</v>
      </c>
    </row>
    <row r="122" spans="1:51">
      <c r="A122" s="13" t="str">
        <f t="shared" si="27"/>
        <v>\cite{Amor2010}</v>
      </c>
      <c r="B122" t="s">
        <v>544</v>
      </c>
      <c r="C122">
        <v>2010</v>
      </c>
      <c r="E122" s="13">
        <f t="shared" si="15"/>
        <v>2010</v>
      </c>
      <c r="F122" s="155">
        <f>LOOKUP(E122,Total_wind_installed_capacity!$A$3:$A$34,Total_wind_installed_capacity!$H$3:$H$34)</f>
        <v>183.5233025</v>
      </c>
      <c r="J122" s="170">
        <v>1</v>
      </c>
      <c r="K122">
        <v>1</v>
      </c>
      <c r="L122" s="188">
        <f t="shared" si="16"/>
        <v>1</v>
      </c>
      <c r="M122" t="s">
        <v>545</v>
      </c>
      <c r="N122" t="s">
        <v>546</v>
      </c>
      <c r="S122" s="171">
        <f t="shared" si="19"/>
        <v>265778.40000000002</v>
      </c>
      <c r="U122" s="194">
        <f t="shared" si="20"/>
        <v>73827.333333333343</v>
      </c>
      <c r="W122" s="195">
        <f t="shared" si="21"/>
        <v>265.77840000000003</v>
      </c>
      <c r="AF122" s="171">
        <f t="shared" si="22"/>
        <v>7183.2</v>
      </c>
      <c r="AH122" s="195">
        <f t="shared" si="23"/>
        <v>7.1832000000000003</v>
      </c>
      <c r="AJ122" s="164">
        <v>0.41</v>
      </c>
      <c r="AK122" s="171">
        <f t="shared" si="17"/>
        <v>3591.6</v>
      </c>
      <c r="AM122">
        <v>20</v>
      </c>
      <c r="AN122" s="171">
        <f t="shared" si="18"/>
        <v>71832</v>
      </c>
      <c r="AO122" s="199">
        <f t="shared" si="24"/>
        <v>71832000</v>
      </c>
      <c r="AR122" s="195">
        <f t="shared" si="26"/>
        <v>0.9729729729729728</v>
      </c>
      <c r="AT122" s="195">
        <v>3.7</v>
      </c>
      <c r="AV122" s="195">
        <f t="shared" si="25"/>
        <v>1.0277777777777779</v>
      </c>
      <c r="AY122" s="195">
        <v>100</v>
      </c>
    </row>
    <row r="123" spans="1:51">
      <c r="A123" s="13" t="str">
        <f t="shared" si="27"/>
        <v>\cite{Amor2010}</v>
      </c>
      <c r="B123" t="s">
        <v>544</v>
      </c>
      <c r="C123">
        <v>2010</v>
      </c>
      <c r="E123" s="13">
        <f t="shared" si="15"/>
        <v>2010</v>
      </c>
      <c r="F123" s="155">
        <f>LOOKUP(E123,Total_wind_installed_capacity!$A$3:$A$34,Total_wind_installed_capacity!$H$3:$H$34)</f>
        <v>183.5233025</v>
      </c>
      <c r="J123" s="170">
        <v>10</v>
      </c>
      <c r="K123">
        <v>1</v>
      </c>
      <c r="L123" s="188">
        <f t="shared" si="16"/>
        <v>10</v>
      </c>
      <c r="M123" t="s">
        <v>545</v>
      </c>
      <c r="N123" t="s">
        <v>546</v>
      </c>
      <c r="S123" s="171">
        <f t="shared" si="19"/>
        <v>85497.599999999991</v>
      </c>
      <c r="U123" s="194">
        <f t="shared" si="20"/>
        <v>23749.333333333332</v>
      </c>
      <c r="W123" s="195">
        <f t="shared" si="21"/>
        <v>8.5497599999999991</v>
      </c>
      <c r="AF123" s="171">
        <f t="shared" si="22"/>
        <v>39244.800000000003</v>
      </c>
      <c r="AH123" s="195">
        <f t="shared" si="23"/>
        <v>3.9244800000000004</v>
      </c>
      <c r="AJ123" s="164">
        <v>0.08</v>
      </c>
      <c r="AK123" s="171">
        <f t="shared" si="17"/>
        <v>7008</v>
      </c>
      <c r="AM123">
        <v>20</v>
      </c>
      <c r="AN123" s="171">
        <f t="shared" si="18"/>
        <v>140160</v>
      </c>
      <c r="AO123" s="199">
        <f t="shared" si="24"/>
        <v>14016000</v>
      </c>
      <c r="AR123" s="195">
        <f t="shared" si="26"/>
        <v>5.9016393442622954</v>
      </c>
      <c r="AT123" s="195">
        <v>0.61</v>
      </c>
      <c r="AV123" s="195">
        <f t="shared" si="25"/>
        <v>0.16944444444444443</v>
      </c>
      <c r="AY123" s="195">
        <v>280</v>
      </c>
    </row>
    <row r="124" spans="1:51">
      <c r="A124" s="13" t="str">
        <f t="shared" si="27"/>
        <v>\cite{Amor2010}</v>
      </c>
      <c r="B124" t="s">
        <v>544</v>
      </c>
      <c r="C124">
        <v>2010</v>
      </c>
      <c r="E124" s="13">
        <f t="shared" si="15"/>
        <v>2010</v>
      </c>
      <c r="F124" s="155">
        <f>LOOKUP(E124,Total_wind_installed_capacity!$A$3:$A$34,Total_wind_installed_capacity!$H$3:$H$34)</f>
        <v>183.5233025</v>
      </c>
      <c r="J124" s="170">
        <v>10</v>
      </c>
      <c r="K124">
        <v>1</v>
      </c>
      <c r="L124" s="188">
        <f t="shared" si="16"/>
        <v>10</v>
      </c>
      <c r="M124" t="s">
        <v>545</v>
      </c>
      <c r="N124" t="s">
        <v>546</v>
      </c>
      <c r="S124" s="171">
        <f t="shared" si="19"/>
        <v>136656</v>
      </c>
      <c r="U124" s="194">
        <f t="shared" si="20"/>
        <v>37960</v>
      </c>
      <c r="W124" s="195">
        <f t="shared" si="21"/>
        <v>13.6656</v>
      </c>
      <c r="AF124" s="171">
        <f t="shared" si="22"/>
        <v>39174.720000000001</v>
      </c>
      <c r="AH124" s="195">
        <f t="shared" si="23"/>
        <v>3.9174720000000001</v>
      </c>
      <c r="AJ124" s="164">
        <v>0.26</v>
      </c>
      <c r="AK124" s="171">
        <f t="shared" si="17"/>
        <v>22776</v>
      </c>
      <c r="AM124">
        <v>20</v>
      </c>
      <c r="AN124" s="171">
        <f t="shared" si="18"/>
        <v>455520</v>
      </c>
      <c r="AO124" s="199">
        <f t="shared" si="24"/>
        <v>45552000</v>
      </c>
      <c r="AR124" s="195">
        <f t="shared" si="26"/>
        <v>12</v>
      </c>
      <c r="AT124" s="195">
        <v>0.3</v>
      </c>
      <c r="AV124" s="195">
        <f t="shared" si="25"/>
        <v>8.3333333333333329E-2</v>
      </c>
      <c r="AY124" s="195">
        <v>86</v>
      </c>
    </row>
    <row r="125" spans="1:51">
      <c r="A125" s="13" t="str">
        <f t="shared" si="27"/>
        <v>\cite{Amor2010}</v>
      </c>
      <c r="B125" t="s">
        <v>544</v>
      </c>
      <c r="C125">
        <v>2010</v>
      </c>
      <c r="E125" s="13">
        <f t="shared" si="15"/>
        <v>2010</v>
      </c>
      <c r="F125" s="155">
        <f>LOOKUP(E125,Total_wind_installed_capacity!$A$3:$A$34,Total_wind_installed_capacity!$H$3:$H$34)</f>
        <v>183.5233025</v>
      </c>
      <c r="J125" s="170">
        <v>10</v>
      </c>
      <c r="K125">
        <v>1</v>
      </c>
      <c r="L125" s="188">
        <f t="shared" si="16"/>
        <v>10</v>
      </c>
      <c r="M125" t="s">
        <v>545</v>
      </c>
      <c r="N125" t="s">
        <v>546</v>
      </c>
      <c r="S125" s="171">
        <f t="shared" si="19"/>
        <v>0</v>
      </c>
      <c r="U125" s="194">
        <f t="shared" si="20"/>
        <v>0</v>
      </c>
      <c r="W125" s="195">
        <f t="shared" si="21"/>
        <v>0</v>
      </c>
      <c r="AF125" s="171">
        <f t="shared" si="22"/>
        <v>39630.239999999998</v>
      </c>
      <c r="AH125" s="195">
        <f t="shared" si="23"/>
        <v>3.9630239999999999</v>
      </c>
      <c r="AJ125" s="164">
        <v>0.39</v>
      </c>
      <c r="AK125" s="171">
        <f t="shared" si="17"/>
        <v>34164</v>
      </c>
      <c r="AM125">
        <v>20</v>
      </c>
      <c r="AN125" s="171">
        <f t="shared" si="18"/>
        <v>683280</v>
      </c>
      <c r="AO125" s="199">
        <f t="shared" si="24"/>
        <v>68328000</v>
      </c>
      <c r="AR125" s="195"/>
      <c r="AT125" s="195"/>
      <c r="AV125" s="195">
        <f t="shared" si="25"/>
        <v>0</v>
      </c>
      <c r="AY125" s="195">
        <v>58</v>
      </c>
    </row>
    <row r="126" spans="1:51">
      <c r="A126" s="13" t="str">
        <f t="shared" ref="A126:A149" si="28">CONCATENATE("\cite{",B126,C126,"}")</f>
        <v>\cite{Amor2010}</v>
      </c>
      <c r="B126" t="s">
        <v>544</v>
      </c>
      <c r="C126">
        <v>2010</v>
      </c>
      <c r="E126" s="13">
        <f t="shared" si="15"/>
        <v>2010</v>
      </c>
      <c r="F126" s="155">
        <f>LOOKUP(E126,Total_wind_installed_capacity!$A$3:$A$34,Total_wind_installed_capacity!$H$3:$H$34)</f>
        <v>183.5233025</v>
      </c>
      <c r="J126" s="170">
        <v>30</v>
      </c>
      <c r="K126">
        <v>1</v>
      </c>
      <c r="L126" s="188">
        <f t="shared" si="16"/>
        <v>30</v>
      </c>
      <c r="M126" t="s">
        <v>545</v>
      </c>
      <c r="N126" t="s">
        <v>546</v>
      </c>
      <c r="S126" s="171">
        <f t="shared" si="19"/>
        <v>0</v>
      </c>
      <c r="U126" s="194">
        <f t="shared" si="20"/>
        <v>0</v>
      </c>
      <c r="W126" s="195">
        <f t="shared" si="21"/>
        <v>0</v>
      </c>
      <c r="AF126" s="171">
        <f t="shared" si="22"/>
        <v>37843.19999999999</v>
      </c>
      <c r="AH126" s="195">
        <f t="shared" si="23"/>
        <v>1.2614399999999997</v>
      </c>
      <c r="AJ126" s="164">
        <v>0.03</v>
      </c>
      <c r="AK126" s="171">
        <f t="shared" si="17"/>
        <v>7883.9999999999991</v>
      </c>
      <c r="AM126">
        <v>20</v>
      </c>
      <c r="AN126" s="171">
        <f t="shared" si="18"/>
        <v>157679.99999999997</v>
      </c>
      <c r="AO126" s="199">
        <f t="shared" si="24"/>
        <v>5255999.9999999991</v>
      </c>
      <c r="AR126" s="195"/>
      <c r="AT126" s="195"/>
      <c r="AV126" s="195">
        <f t="shared" si="25"/>
        <v>0</v>
      </c>
      <c r="AY126" s="195">
        <v>240</v>
      </c>
    </row>
    <row r="127" spans="1:51">
      <c r="A127" s="13" t="str">
        <f t="shared" si="28"/>
        <v>\cite{Amor2010}</v>
      </c>
      <c r="B127" t="s">
        <v>544</v>
      </c>
      <c r="C127">
        <v>2010</v>
      </c>
      <c r="E127" s="13">
        <f t="shared" ref="E127:E128" si="29">IF(D127&gt;0,D127,C127)</f>
        <v>2010</v>
      </c>
      <c r="F127" s="155">
        <f>LOOKUP(E127,Total_wind_installed_capacity!$A$3:$A$34,Total_wind_installed_capacity!$H$3:$H$34)</f>
        <v>183.5233025</v>
      </c>
      <c r="J127" s="170">
        <v>30</v>
      </c>
      <c r="K127">
        <v>1</v>
      </c>
      <c r="L127" s="188">
        <f t="shared" ref="L127:L149" si="30">K127*J127</f>
        <v>30</v>
      </c>
      <c r="M127" t="s">
        <v>545</v>
      </c>
      <c r="N127" t="s">
        <v>546</v>
      </c>
      <c r="S127" s="171">
        <f t="shared" si="19"/>
        <v>0</v>
      </c>
      <c r="U127" s="194">
        <f t="shared" si="20"/>
        <v>0</v>
      </c>
      <c r="W127" s="195">
        <f t="shared" si="21"/>
        <v>0</v>
      </c>
      <c r="AF127" s="171">
        <f t="shared" si="22"/>
        <v>42048</v>
      </c>
      <c r="AH127" s="195">
        <f t="shared" si="23"/>
        <v>1.4016</v>
      </c>
      <c r="AJ127" s="164">
        <v>0.2</v>
      </c>
      <c r="AK127" s="171">
        <f t="shared" ref="AK127:AK149" si="31">L127*AJ127*8760</f>
        <v>52560</v>
      </c>
      <c r="AM127">
        <v>20</v>
      </c>
      <c r="AN127" s="171">
        <f t="shared" ref="AN127:AN149" si="32">AK127*AM127</f>
        <v>1051200</v>
      </c>
      <c r="AO127" s="199">
        <f t="shared" si="24"/>
        <v>35040000</v>
      </c>
      <c r="AR127" s="195"/>
      <c r="AT127" s="195"/>
      <c r="AV127" s="195">
        <f t="shared" si="25"/>
        <v>0</v>
      </c>
      <c r="AY127" s="195">
        <v>40</v>
      </c>
    </row>
    <row r="128" spans="1:51">
      <c r="A128" s="13" t="str">
        <f t="shared" si="28"/>
        <v>\cite{Amor2010}</v>
      </c>
      <c r="B128" t="s">
        <v>544</v>
      </c>
      <c r="C128">
        <v>2010</v>
      </c>
      <c r="E128" s="13">
        <f t="shared" si="29"/>
        <v>2010</v>
      </c>
      <c r="F128" s="155">
        <f>LOOKUP(E128,Total_wind_installed_capacity!$A$3:$A$34,Total_wind_installed_capacity!$H$3:$H$34)</f>
        <v>183.5233025</v>
      </c>
      <c r="J128" s="170">
        <v>30</v>
      </c>
      <c r="K128">
        <v>1</v>
      </c>
      <c r="L128" s="188">
        <f t="shared" si="30"/>
        <v>30</v>
      </c>
      <c r="M128" t="s">
        <v>545</v>
      </c>
      <c r="N128" t="s">
        <v>546</v>
      </c>
      <c r="S128" s="171">
        <f t="shared" si="19"/>
        <v>0</v>
      </c>
      <c r="U128" s="194">
        <f t="shared" si="20"/>
        <v>0</v>
      </c>
      <c r="W128" s="195">
        <f t="shared" si="21"/>
        <v>0</v>
      </c>
      <c r="AF128" s="171">
        <f t="shared" si="22"/>
        <v>0</v>
      </c>
      <c r="AH128" s="195">
        <f t="shared" si="23"/>
        <v>0</v>
      </c>
      <c r="AJ128" s="164">
        <v>0.4</v>
      </c>
      <c r="AK128" s="171">
        <f t="shared" si="31"/>
        <v>105120</v>
      </c>
      <c r="AN128" s="171">
        <f t="shared" si="32"/>
        <v>0</v>
      </c>
      <c r="AO128" s="199">
        <f t="shared" si="24"/>
        <v>0</v>
      </c>
      <c r="AR128" s="195"/>
      <c r="AT128" s="195"/>
      <c r="AV128" s="195">
        <f t="shared" si="25"/>
        <v>0</v>
      </c>
      <c r="AY128" s="195">
        <v>20</v>
      </c>
    </row>
    <row r="129" spans="1:51">
      <c r="A129" s="13" t="str">
        <f t="shared" si="28"/>
        <v>\cite{Crawford2009}</v>
      </c>
      <c r="B129" t="s">
        <v>412</v>
      </c>
      <c r="C129">
        <v>2009</v>
      </c>
      <c r="E129" s="13">
        <f t="shared" ref="E129:E149" si="33">IF(D129&gt;0,D129,C129)</f>
        <v>2009</v>
      </c>
      <c r="F129" s="155">
        <f>LOOKUP(E129,Total_wind_installed_capacity!$A$3:$A$34,Total_wind_installed_capacity!$H$3:$H$34)</f>
        <v>151.3704745</v>
      </c>
      <c r="J129" s="170">
        <v>3000</v>
      </c>
      <c r="K129">
        <v>1</v>
      </c>
      <c r="L129" s="188">
        <f t="shared" si="30"/>
        <v>3000</v>
      </c>
      <c r="M129" t="s">
        <v>545</v>
      </c>
      <c r="N129" t="s">
        <v>546</v>
      </c>
      <c r="O129">
        <v>90</v>
      </c>
      <c r="S129" s="171">
        <f t="shared" si="19"/>
        <v>0</v>
      </c>
      <c r="U129" s="194">
        <f t="shared" si="20"/>
        <v>0</v>
      </c>
      <c r="W129" s="195">
        <f t="shared" si="21"/>
        <v>0</v>
      </c>
      <c r="AF129" s="171">
        <f t="shared" si="22"/>
        <v>7978608</v>
      </c>
      <c r="AH129" s="195">
        <f t="shared" si="23"/>
        <v>2.6595360000000001</v>
      </c>
      <c r="AJ129" s="164">
        <v>0.33</v>
      </c>
      <c r="AK129" s="171">
        <f t="shared" si="31"/>
        <v>8672400</v>
      </c>
      <c r="AM129">
        <v>20</v>
      </c>
      <c r="AN129" s="171">
        <f t="shared" si="32"/>
        <v>173448000</v>
      </c>
      <c r="AO129" s="199">
        <f t="shared" si="24"/>
        <v>57816000</v>
      </c>
      <c r="AR129" s="195"/>
      <c r="AT129" s="195"/>
      <c r="AV129" s="195">
        <f t="shared" si="25"/>
        <v>0</v>
      </c>
      <c r="AY129" s="195">
        <v>46</v>
      </c>
    </row>
    <row r="130" spans="1:51">
      <c r="A130" s="13" t="str">
        <f t="shared" si="28"/>
        <v>\cite{Crawford2009}</v>
      </c>
      <c r="B130" t="s">
        <v>412</v>
      </c>
      <c r="C130">
        <v>2009</v>
      </c>
      <c r="E130" s="13">
        <f t="shared" si="33"/>
        <v>2009</v>
      </c>
      <c r="F130" s="155">
        <f>LOOKUP(E130,Total_wind_installed_capacity!$A$3:$A$34,Total_wind_installed_capacity!$H$3:$H$34)</f>
        <v>151.3704745</v>
      </c>
      <c r="J130" s="170">
        <v>850</v>
      </c>
      <c r="K130">
        <v>1</v>
      </c>
      <c r="L130" s="188">
        <f t="shared" si="30"/>
        <v>850</v>
      </c>
      <c r="M130" t="s">
        <v>545</v>
      </c>
      <c r="N130" t="s">
        <v>546</v>
      </c>
      <c r="O130">
        <v>52</v>
      </c>
      <c r="S130" s="171">
        <f t="shared" si="19"/>
        <v>0</v>
      </c>
      <c r="U130" s="194">
        <f t="shared" si="20"/>
        <v>0</v>
      </c>
      <c r="W130" s="195">
        <f t="shared" si="21"/>
        <v>0</v>
      </c>
      <c r="AF130" s="171">
        <f t="shared" si="22"/>
        <v>415695.28800000006</v>
      </c>
      <c r="AH130" s="195">
        <f t="shared" si="23"/>
        <v>0.48905328000000009</v>
      </c>
      <c r="AJ130" s="164">
        <v>0.34</v>
      </c>
      <c r="AK130" s="171">
        <f t="shared" si="31"/>
        <v>2531640</v>
      </c>
      <c r="AM130">
        <v>20</v>
      </c>
      <c r="AN130" s="171">
        <f t="shared" si="32"/>
        <v>50632800</v>
      </c>
      <c r="AO130" s="199">
        <f t="shared" si="24"/>
        <v>59568000</v>
      </c>
      <c r="AR130" s="195"/>
      <c r="AT130" s="195"/>
      <c r="AV130" s="195">
        <f t="shared" si="25"/>
        <v>0</v>
      </c>
      <c r="AY130" s="195">
        <v>8.2100000000000009</v>
      </c>
    </row>
    <row r="131" spans="1:51">
      <c r="A131" s="13" t="str">
        <f t="shared" si="28"/>
        <v>\cite{Martínez2009}</v>
      </c>
      <c r="B131" t="s">
        <v>429</v>
      </c>
      <c r="C131">
        <v>2009</v>
      </c>
      <c r="E131" s="13">
        <f t="shared" si="33"/>
        <v>2009</v>
      </c>
      <c r="F131" s="155">
        <f>LOOKUP(E131,Total_wind_installed_capacity!$A$3:$A$34,Total_wind_installed_capacity!$H$3:$H$34)</f>
        <v>151.3704745</v>
      </c>
      <c r="J131" s="170">
        <v>2000</v>
      </c>
      <c r="K131">
        <v>1</v>
      </c>
      <c r="L131" s="188">
        <f t="shared" si="30"/>
        <v>2000</v>
      </c>
      <c r="M131" t="s">
        <v>545</v>
      </c>
      <c r="N131" t="s">
        <v>546</v>
      </c>
      <c r="O131">
        <v>80</v>
      </c>
      <c r="S131" s="171">
        <f t="shared" ref="S131:S149" si="34">AT131*AN131</f>
        <v>0</v>
      </c>
      <c r="U131" s="194">
        <f t="shared" ref="U131:U149" si="35">S131/3.6</f>
        <v>0</v>
      </c>
      <c r="W131" s="195">
        <f t="shared" ref="W131:W149" si="36">S131/L131/1000</f>
        <v>0</v>
      </c>
      <c r="AF131" s="171">
        <f t="shared" ref="AF131:AF149" si="37">AY131*AN131/1000</f>
        <v>0</v>
      </c>
      <c r="AH131" s="195">
        <f t="shared" ref="AH131:AH149" si="38">AF131/L131/1000</f>
        <v>0</v>
      </c>
      <c r="AJ131" s="164">
        <v>0.23</v>
      </c>
      <c r="AK131" s="171">
        <f t="shared" si="31"/>
        <v>4029600</v>
      </c>
      <c r="AM131">
        <v>20</v>
      </c>
      <c r="AN131" s="171">
        <f t="shared" si="32"/>
        <v>80592000</v>
      </c>
      <c r="AO131" s="199">
        <f t="shared" ref="AO131:AO149" si="39">AN131/L131*1000</f>
        <v>40296000</v>
      </c>
      <c r="AR131" s="195"/>
      <c r="AT131" s="195"/>
      <c r="AV131" s="195">
        <f t="shared" ref="AV131:AV149" si="40">AT131/3.6</f>
        <v>0</v>
      </c>
      <c r="AY131" s="195"/>
    </row>
    <row r="132" spans="1:51">
      <c r="A132" s="13" t="str">
        <f t="shared" si="28"/>
        <v>\cite{Martínez2009}</v>
      </c>
      <c r="B132" t="s">
        <v>429</v>
      </c>
      <c r="C132">
        <v>2009</v>
      </c>
      <c r="E132" s="13">
        <f t="shared" si="33"/>
        <v>2009</v>
      </c>
      <c r="F132" s="155">
        <f>LOOKUP(E132,Total_wind_installed_capacity!$A$3:$A$34,Total_wind_installed_capacity!$H$3:$H$34)</f>
        <v>151.3704745</v>
      </c>
      <c r="J132" s="170">
        <v>2000</v>
      </c>
      <c r="K132">
        <v>1</v>
      </c>
      <c r="L132" s="188">
        <f t="shared" si="30"/>
        <v>2000</v>
      </c>
      <c r="M132" t="s">
        <v>545</v>
      </c>
      <c r="N132" t="s">
        <v>546</v>
      </c>
      <c r="S132" s="171">
        <f t="shared" si="34"/>
        <v>0</v>
      </c>
      <c r="U132" s="194">
        <f t="shared" si="35"/>
        <v>0</v>
      </c>
      <c r="W132" s="195">
        <f t="shared" si="36"/>
        <v>0</v>
      </c>
      <c r="AF132" s="171">
        <f t="shared" si="37"/>
        <v>0</v>
      </c>
      <c r="AH132" s="195">
        <f t="shared" si="38"/>
        <v>0</v>
      </c>
      <c r="AJ132" s="164">
        <v>0.23</v>
      </c>
      <c r="AK132" s="171">
        <f t="shared" si="31"/>
        <v>4029600</v>
      </c>
      <c r="AM132">
        <v>20</v>
      </c>
      <c r="AN132" s="171">
        <f t="shared" si="32"/>
        <v>80592000</v>
      </c>
      <c r="AO132" s="199">
        <f t="shared" si="39"/>
        <v>40296000</v>
      </c>
      <c r="AR132" s="195"/>
      <c r="AT132" s="195"/>
      <c r="AV132" s="195">
        <f t="shared" si="40"/>
        <v>0</v>
      </c>
      <c r="AY132" s="195"/>
    </row>
    <row r="133" spans="1:51">
      <c r="A133" s="13" t="str">
        <f t="shared" si="28"/>
        <v>\cite{Tremeac2009}</v>
      </c>
      <c r="B133" t="s">
        <v>409</v>
      </c>
      <c r="C133">
        <v>2009</v>
      </c>
      <c r="E133" s="13">
        <f t="shared" si="33"/>
        <v>2009</v>
      </c>
      <c r="F133" s="155">
        <f>LOOKUP(E133,Total_wind_installed_capacity!$A$3:$A$34,Total_wind_installed_capacity!$H$3:$H$34)</f>
        <v>151.3704745</v>
      </c>
      <c r="J133" s="170">
        <v>4500</v>
      </c>
      <c r="K133">
        <v>1</v>
      </c>
      <c r="L133" s="188">
        <f t="shared" si="30"/>
        <v>4500</v>
      </c>
      <c r="M133" t="s">
        <v>545</v>
      </c>
      <c r="N133" t="s">
        <v>546</v>
      </c>
      <c r="S133" s="171">
        <f t="shared" si="34"/>
        <v>0</v>
      </c>
      <c r="U133" s="194">
        <f t="shared" si="35"/>
        <v>0</v>
      </c>
      <c r="W133" s="195">
        <f t="shared" si="36"/>
        <v>0</v>
      </c>
      <c r="AF133" s="171">
        <f t="shared" si="37"/>
        <v>1028862</v>
      </c>
      <c r="AH133" s="195">
        <f t="shared" si="38"/>
        <v>0.22863600000000001</v>
      </c>
      <c r="AJ133" s="164">
        <v>0.28999999999999998</v>
      </c>
      <c r="AK133" s="171">
        <f t="shared" si="31"/>
        <v>11431800</v>
      </c>
      <c r="AM133">
        <v>20</v>
      </c>
      <c r="AN133" s="171">
        <f t="shared" si="32"/>
        <v>228636000</v>
      </c>
      <c r="AO133" s="199">
        <f t="shared" si="39"/>
        <v>50808000</v>
      </c>
      <c r="AR133" s="195"/>
      <c r="AT133" s="195"/>
      <c r="AV133" s="195">
        <f t="shared" si="40"/>
        <v>0</v>
      </c>
      <c r="AY133" s="195">
        <v>4.5</v>
      </c>
    </row>
    <row r="134" spans="1:51">
      <c r="A134" s="13" t="str">
        <f t="shared" si="28"/>
        <v>\cite{Martínez2009}</v>
      </c>
      <c r="B134" t="s">
        <v>429</v>
      </c>
      <c r="C134">
        <v>2009</v>
      </c>
      <c r="E134" s="13">
        <f t="shared" si="33"/>
        <v>2009</v>
      </c>
      <c r="F134" s="155">
        <f>LOOKUP(E134,Total_wind_installed_capacity!$A$3:$A$34,Total_wind_installed_capacity!$H$3:$H$34)</f>
        <v>151.3704745</v>
      </c>
      <c r="J134" s="191">
        <v>0.25</v>
      </c>
      <c r="K134">
        <v>1</v>
      </c>
      <c r="L134" s="193">
        <f>K134*J134</f>
        <v>0.25</v>
      </c>
      <c r="M134" t="s">
        <v>548</v>
      </c>
      <c r="N134" t="s">
        <v>546</v>
      </c>
      <c r="S134" s="171">
        <f t="shared" si="34"/>
        <v>0</v>
      </c>
      <c r="U134" s="194">
        <f t="shared" si="35"/>
        <v>0</v>
      </c>
      <c r="W134" s="195">
        <f t="shared" si="36"/>
        <v>0</v>
      </c>
      <c r="AF134" s="171">
        <f t="shared" si="37"/>
        <v>10.512</v>
      </c>
      <c r="AH134" s="195">
        <f t="shared" si="38"/>
        <v>4.2048000000000002E-2</v>
      </c>
      <c r="AJ134" s="164">
        <v>0.05</v>
      </c>
      <c r="AK134" s="171">
        <f t="shared" si="31"/>
        <v>109.5</v>
      </c>
      <c r="AM134">
        <v>20</v>
      </c>
      <c r="AN134" s="171">
        <f t="shared" si="32"/>
        <v>2190</v>
      </c>
      <c r="AO134" s="199">
        <f t="shared" si="39"/>
        <v>8760000</v>
      </c>
      <c r="AR134" s="195"/>
      <c r="AT134" s="195"/>
      <c r="AV134" s="195">
        <f t="shared" si="40"/>
        <v>0</v>
      </c>
      <c r="AY134" s="195">
        <v>4.8</v>
      </c>
    </row>
    <row r="135" spans="1:51">
      <c r="A135" s="13" t="str">
        <f t="shared" si="28"/>
        <v>\cite{Weinzettel2009}</v>
      </c>
      <c r="B135" t="s">
        <v>398</v>
      </c>
      <c r="C135">
        <v>2009</v>
      </c>
      <c r="E135" s="13">
        <f t="shared" si="33"/>
        <v>2009</v>
      </c>
      <c r="F135" s="155">
        <f>LOOKUP(E135,Total_wind_installed_capacity!$A$3:$A$34,Total_wind_installed_capacity!$H$3:$H$34)</f>
        <v>151.3704745</v>
      </c>
      <c r="J135" s="170">
        <v>5000</v>
      </c>
      <c r="K135">
        <v>1</v>
      </c>
      <c r="L135" s="188">
        <f t="shared" si="30"/>
        <v>5000</v>
      </c>
      <c r="M135" t="s">
        <v>545</v>
      </c>
      <c r="N135" t="s">
        <v>547</v>
      </c>
      <c r="Q135" t="s">
        <v>560</v>
      </c>
      <c r="S135" s="171">
        <f t="shared" si="34"/>
        <v>0</v>
      </c>
      <c r="U135" s="194">
        <f t="shared" si="35"/>
        <v>0</v>
      </c>
      <c r="W135" s="195">
        <f t="shared" si="36"/>
        <v>0</v>
      </c>
      <c r="AF135" s="171">
        <f t="shared" si="37"/>
        <v>2885544</v>
      </c>
      <c r="AH135" s="195">
        <f t="shared" si="38"/>
        <v>0.57710879999999998</v>
      </c>
      <c r="AJ135" s="164">
        <v>0.54</v>
      </c>
      <c r="AK135" s="171">
        <f t="shared" si="31"/>
        <v>23652000</v>
      </c>
      <c r="AM135">
        <v>20</v>
      </c>
      <c r="AN135" s="171">
        <f t="shared" si="32"/>
        <v>473040000</v>
      </c>
      <c r="AO135" s="199">
        <f t="shared" si="39"/>
        <v>94608000</v>
      </c>
      <c r="AR135" s="195"/>
      <c r="AT135" s="195"/>
      <c r="AV135" s="195">
        <f t="shared" si="40"/>
        <v>0</v>
      </c>
      <c r="AY135" s="195">
        <v>6.1</v>
      </c>
    </row>
    <row r="136" spans="1:51">
      <c r="A136" s="13" t="str">
        <f t="shared" si="28"/>
        <v>\cite{Ardente2008}</v>
      </c>
      <c r="B136" t="s">
        <v>400</v>
      </c>
      <c r="C136">
        <v>2008</v>
      </c>
      <c r="E136" s="13">
        <f t="shared" si="33"/>
        <v>2008</v>
      </c>
      <c r="F136" s="155">
        <f>LOOKUP(E136,Total_wind_installed_capacity!$A$3:$A$34,Total_wind_installed_capacity!$H$3:$H$34)</f>
        <v>116.9072445</v>
      </c>
      <c r="J136" s="170">
        <v>660</v>
      </c>
      <c r="K136">
        <v>1</v>
      </c>
      <c r="L136" s="188">
        <f t="shared" si="30"/>
        <v>660</v>
      </c>
      <c r="M136" t="s">
        <v>545</v>
      </c>
      <c r="N136" t="s">
        <v>546</v>
      </c>
      <c r="O136">
        <v>50</v>
      </c>
      <c r="S136" s="171">
        <f t="shared" si="34"/>
        <v>0</v>
      </c>
      <c r="U136" s="194">
        <f t="shared" si="35"/>
        <v>0</v>
      </c>
      <c r="W136" s="195">
        <f t="shared" si="36"/>
        <v>0</v>
      </c>
      <c r="AF136" s="171">
        <f t="shared" si="37"/>
        <v>177957.64799999999</v>
      </c>
      <c r="AH136" s="195">
        <f t="shared" si="38"/>
        <v>0.26963279999999995</v>
      </c>
      <c r="AJ136" s="164">
        <v>0.19</v>
      </c>
      <c r="AK136" s="171">
        <f t="shared" si="31"/>
        <v>1098504</v>
      </c>
      <c r="AM136">
        <v>20</v>
      </c>
      <c r="AN136" s="171">
        <f t="shared" si="32"/>
        <v>21970080</v>
      </c>
      <c r="AO136" s="199">
        <f t="shared" si="39"/>
        <v>33288000</v>
      </c>
      <c r="AR136" s="195"/>
      <c r="AT136" s="195"/>
      <c r="AV136" s="195">
        <f t="shared" si="40"/>
        <v>0</v>
      </c>
      <c r="AY136" s="195">
        <v>8.1</v>
      </c>
    </row>
    <row r="137" spans="1:51">
      <c r="A137" s="13" t="str">
        <f t="shared" si="28"/>
        <v>\cite{Vestas.2006}</v>
      </c>
      <c r="B137" t="s">
        <v>532</v>
      </c>
      <c r="C137">
        <v>2006</v>
      </c>
      <c r="E137" s="13">
        <f t="shared" si="33"/>
        <v>2006</v>
      </c>
      <c r="F137" s="155">
        <f>LOOKUP(E137,Total_wind_installed_capacity!$A$3:$A$34,Total_wind_installed_capacity!$H$3:$H$34)</f>
        <v>71.980399999999989</v>
      </c>
      <c r="J137" s="170">
        <v>1650</v>
      </c>
      <c r="K137">
        <v>1</v>
      </c>
      <c r="L137" s="188">
        <f t="shared" si="30"/>
        <v>1650</v>
      </c>
      <c r="M137" t="s">
        <v>545</v>
      </c>
      <c r="N137" t="s">
        <v>546</v>
      </c>
      <c r="O137">
        <v>82</v>
      </c>
      <c r="S137" s="171">
        <f t="shared" si="34"/>
        <v>0</v>
      </c>
      <c r="U137" s="194">
        <f t="shared" si="35"/>
        <v>0</v>
      </c>
      <c r="W137" s="195">
        <f t="shared" si="36"/>
        <v>0</v>
      </c>
      <c r="AF137" s="171">
        <f t="shared" si="37"/>
        <v>794825.46</v>
      </c>
      <c r="AH137" s="195">
        <f t="shared" si="38"/>
        <v>0.48171239999999999</v>
      </c>
      <c r="AJ137" s="164">
        <v>0.39</v>
      </c>
      <c r="AK137" s="171">
        <f t="shared" si="31"/>
        <v>5637060</v>
      </c>
      <c r="AM137">
        <v>20</v>
      </c>
      <c r="AN137" s="171">
        <f t="shared" si="32"/>
        <v>112741200</v>
      </c>
      <c r="AO137" s="199">
        <f t="shared" si="39"/>
        <v>68328000</v>
      </c>
      <c r="AR137" s="195"/>
      <c r="AT137" s="195"/>
      <c r="AV137" s="195">
        <f t="shared" si="40"/>
        <v>0</v>
      </c>
      <c r="AY137" s="195">
        <v>7.05</v>
      </c>
    </row>
    <row r="138" spans="1:51">
      <c r="A138" s="13" t="str">
        <f t="shared" si="28"/>
        <v>\cite{Lenzen2004}</v>
      </c>
      <c r="B138" t="s">
        <v>428</v>
      </c>
      <c r="C138">
        <v>2004</v>
      </c>
      <c r="E138" s="13">
        <f t="shared" si="33"/>
        <v>2004</v>
      </c>
      <c r="F138" s="155">
        <f>LOOKUP(E138,Total_wind_installed_capacity!$A$3:$A$34,Total_wind_installed_capacity!$H$3:$H$34)</f>
        <v>46.3964675</v>
      </c>
      <c r="J138" s="170">
        <v>500</v>
      </c>
      <c r="K138">
        <v>1</v>
      </c>
      <c r="L138" s="188">
        <f t="shared" si="30"/>
        <v>500</v>
      </c>
      <c r="M138" t="s">
        <v>545</v>
      </c>
      <c r="N138" t="s">
        <v>546</v>
      </c>
      <c r="S138" s="171">
        <f t="shared" si="34"/>
        <v>0</v>
      </c>
      <c r="U138" s="194">
        <f t="shared" si="35"/>
        <v>0</v>
      </c>
      <c r="W138" s="195">
        <f t="shared" si="36"/>
        <v>0</v>
      </c>
      <c r="AF138" s="171">
        <f t="shared" si="37"/>
        <v>1461168</v>
      </c>
      <c r="AH138" s="195">
        <f t="shared" si="38"/>
        <v>2.9223359999999996</v>
      </c>
      <c r="AJ138" s="164">
        <v>0.3</v>
      </c>
      <c r="AK138" s="171">
        <f t="shared" si="31"/>
        <v>1314000</v>
      </c>
      <c r="AM138">
        <v>20</v>
      </c>
      <c r="AN138" s="171">
        <f t="shared" si="32"/>
        <v>26280000</v>
      </c>
      <c r="AO138" s="199">
        <f t="shared" si="39"/>
        <v>52560000</v>
      </c>
      <c r="AR138" s="195"/>
      <c r="AT138" s="195"/>
      <c r="AV138" s="195">
        <f t="shared" si="40"/>
        <v>0</v>
      </c>
      <c r="AY138" s="195">
        <v>55.6</v>
      </c>
    </row>
    <row r="139" spans="1:51">
      <c r="A139" s="13" t="str">
        <f t="shared" si="28"/>
        <v>\cite{Lenzen2004}</v>
      </c>
      <c r="B139" t="s">
        <v>428</v>
      </c>
      <c r="C139">
        <v>2004</v>
      </c>
      <c r="E139" s="13">
        <f t="shared" si="33"/>
        <v>2004</v>
      </c>
      <c r="F139" s="155">
        <f>LOOKUP(E139,Total_wind_installed_capacity!$A$3:$A$34,Total_wind_installed_capacity!$H$3:$H$34)</f>
        <v>46.3964675</v>
      </c>
      <c r="J139" s="170">
        <v>500</v>
      </c>
      <c r="K139">
        <v>1</v>
      </c>
      <c r="L139" s="188">
        <f t="shared" si="30"/>
        <v>500</v>
      </c>
      <c r="M139" t="s">
        <v>545</v>
      </c>
      <c r="N139" t="s">
        <v>546</v>
      </c>
      <c r="S139" s="171">
        <f t="shared" si="34"/>
        <v>0</v>
      </c>
      <c r="U139" s="194">
        <f t="shared" si="35"/>
        <v>0</v>
      </c>
      <c r="W139" s="195">
        <f t="shared" si="36"/>
        <v>0</v>
      </c>
      <c r="AF139" s="171">
        <f t="shared" si="37"/>
        <v>877138.79999999993</v>
      </c>
      <c r="AH139" s="195">
        <f t="shared" si="38"/>
        <v>1.7542776</v>
      </c>
      <c r="AJ139" s="164">
        <v>0.31</v>
      </c>
      <c r="AK139" s="171">
        <f t="shared" si="31"/>
        <v>1357800</v>
      </c>
      <c r="AM139">
        <v>20</v>
      </c>
      <c r="AN139" s="171">
        <f t="shared" si="32"/>
        <v>27156000</v>
      </c>
      <c r="AO139" s="199">
        <f t="shared" si="39"/>
        <v>54312000</v>
      </c>
      <c r="AR139" s="195"/>
      <c r="AT139" s="195"/>
      <c r="AV139" s="195">
        <f t="shared" si="40"/>
        <v>0</v>
      </c>
      <c r="AY139" s="195">
        <v>32.299999999999997</v>
      </c>
    </row>
    <row r="140" spans="1:51">
      <c r="A140" s="13" t="str">
        <f t="shared" si="28"/>
        <v>\cite{Lenzen2004}</v>
      </c>
      <c r="B140" t="s">
        <v>428</v>
      </c>
      <c r="C140">
        <v>2004</v>
      </c>
      <c r="E140" s="13">
        <f t="shared" si="33"/>
        <v>2004</v>
      </c>
      <c r="F140" s="155">
        <f>LOOKUP(E140,Total_wind_installed_capacity!$A$3:$A$34,Total_wind_installed_capacity!$H$3:$H$34)</f>
        <v>46.3964675</v>
      </c>
      <c r="J140" s="170">
        <v>500</v>
      </c>
      <c r="K140">
        <v>1</v>
      </c>
      <c r="L140" s="188">
        <f t="shared" si="30"/>
        <v>500</v>
      </c>
      <c r="M140" t="s">
        <v>545</v>
      </c>
      <c r="N140" t="s">
        <v>547</v>
      </c>
      <c r="S140" s="171">
        <f t="shared" si="34"/>
        <v>2312640</v>
      </c>
      <c r="U140" s="194">
        <f t="shared" si="35"/>
        <v>642400</v>
      </c>
      <c r="W140" s="195">
        <f t="shared" si="36"/>
        <v>4.6252800000000001</v>
      </c>
      <c r="AF140" s="171">
        <f t="shared" si="37"/>
        <v>0</v>
      </c>
      <c r="AH140" s="195">
        <f t="shared" si="38"/>
        <v>0</v>
      </c>
      <c r="AJ140" s="164">
        <v>0.24</v>
      </c>
      <c r="AK140" s="171">
        <f t="shared" si="31"/>
        <v>1051200</v>
      </c>
      <c r="AM140">
        <v>20</v>
      </c>
      <c r="AN140" s="171">
        <f t="shared" si="32"/>
        <v>21024000</v>
      </c>
      <c r="AO140" s="199">
        <f t="shared" si="39"/>
        <v>42048000</v>
      </c>
      <c r="AR140" s="195">
        <f t="shared" ref="AR140:AR144" si="41">1/AV140</f>
        <v>32.727272727272727</v>
      </c>
      <c r="AT140" s="195">
        <v>0.11</v>
      </c>
      <c r="AV140" s="195">
        <f t="shared" si="40"/>
        <v>3.0555555555555555E-2</v>
      </c>
      <c r="AY140" s="195"/>
    </row>
    <row r="141" spans="1:51">
      <c r="A141" s="13" t="str">
        <f t="shared" si="28"/>
        <v>\cite{Lenzen2004}</v>
      </c>
      <c r="B141" t="s">
        <v>428</v>
      </c>
      <c r="C141">
        <v>2004</v>
      </c>
      <c r="E141" s="13">
        <f t="shared" si="33"/>
        <v>2004</v>
      </c>
      <c r="F141" s="155">
        <f>LOOKUP(E141,Total_wind_installed_capacity!$A$3:$A$34,Total_wind_installed_capacity!$H$3:$H$34)</f>
        <v>46.3964675</v>
      </c>
      <c r="J141" s="170">
        <v>500</v>
      </c>
      <c r="K141">
        <v>1</v>
      </c>
      <c r="L141" s="188">
        <f t="shared" si="30"/>
        <v>500</v>
      </c>
      <c r="M141" t="s">
        <v>545</v>
      </c>
      <c r="N141" t="s">
        <v>547</v>
      </c>
      <c r="S141" s="171">
        <f t="shared" si="34"/>
        <v>0</v>
      </c>
      <c r="U141" s="194">
        <f t="shared" si="35"/>
        <v>0</v>
      </c>
      <c r="W141" s="195">
        <f t="shared" si="36"/>
        <v>0</v>
      </c>
      <c r="AF141" s="171">
        <f t="shared" si="37"/>
        <v>0</v>
      </c>
      <c r="AH141" s="195">
        <f t="shared" si="38"/>
        <v>0</v>
      </c>
      <c r="AJ141" s="164">
        <v>0.18</v>
      </c>
      <c r="AK141" s="171">
        <f t="shared" si="31"/>
        <v>788400</v>
      </c>
      <c r="AM141">
        <v>20</v>
      </c>
      <c r="AN141" s="171">
        <f t="shared" si="32"/>
        <v>15768000</v>
      </c>
      <c r="AO141" s="199">
        <f t="shared" si="39"/>
        <v>31536000</v>
      </c>
      <c r="AR141" s="195"/>
      <c r="AT141" s="195"/>
      <c r="AV141" s="195">
        <f t="shared" si="40"/>
        <v>0</v>
      </c>
      <c r="AY141" s="195"/>
    </row>
    <row r="142" spans="1:51">
      <c r="A142" s="13" t="str">
        <f t="shared" si="28"/>
        <v>\cite{Lenzen2004}</v>
      </c>
      <c r="B142" t="s">
        <v>428</v>
      </c>
      <c r="C142">
        <v>2004</v>
      </c>
      <c r="E142" s="13">
        <f t="shared" si="33"/>
        <v>2004</v>
      </c>
      <c r="F142" s="155">
        <f>LOOKUP(E142,Total_wind_installed_capacity!$A$3:$A$34,Total_wind_installed_capacity!$H$3:$H$34)</f>
        <v>46.3964675</v>
      </c>
      <c r="J142" s="170">
        <v>500</v>
      </c>
      <c r="K142">
        <v>1</v>
      </c>
      <c r="L142" s="188">
        <f t="shared" si="30"/>
        <v>500</v>
      </c>
      <c r="M142" t="s">
        <v>545</v>
      </c>
      <c r="N142" t="s">
        <v>547</v>
      </c>
      <c r="S142" s="171">
        <f t="shared" si="34"/>
        <v>0</v>
      </c>
      <c r="U142" s="194">
        <f t="shared" si="35"/>
        <v>0</v>
      </c>
      <c r="W142" s="195">
        <f t="shared" si="36"/>
        <v>0</v>
      </c>
      <c r="AF142" s="171">
        <f t="shared" si="37"/>
        <v>0</v>
      </c>
      <c r="AH142" s="195">
        <f t="shared" si="38"/>
        <v>0</v>
      </c>
      <c r="AJ142" s="164">
        <v>0.2</v>
      </c>
      <c r="AK142" s="171">
        <f t="shared" si="31"/>
        <v>876000</v>
      </c>
      <c r="AM142">
        <v>20</v>
      </c>
      <c r="AN142" s="171">
        <f t="shared" si="32"/>
        <v>17520000</v>
      </c>
      <c r="AO142" s="199">
        <f t="shared" si="39"/>
        <v>35040000</v>
      </c>
      <c r="AR142" s="195"/>
      <c r="AT142" s="195"/>
      <c r="AV142" s="195">
        <f t="shared" si="40"/>
        <v>0</v>
      </c>
      <c r="AY142" s="195"/>
    </row>
    <row r="143" spans="1:51">
      <c r="A143" s="13" t="str">
        <f t="shared" si="28"/>
        <v>\cite{Jungbluth2004}</v>
      </c>
      <c r="B143" t="s">
        <v>425</v>
      </c>
      <c r="C143">
        <v>2004</v>
      </c>
      <c r="E143" s="13">
        <f t="shared" si="33"/>
        <v>2004</v>
      </c>
      <c r="F143" s="155">
        <f>LOOKUP(E143,Total_wind_installed_capacity!$A$3:$A$34,Total_wind_installed_capacity!$H$3:$H$34)</f>
        <v>46.3964675</v>
      </c>
      <c r="J143" s="170">
        <v>30</v>
      </c>
      <c r="K143">
        <v>1</v>
      </c>
      <c r="L143" s="188">
        <f t="shared" si="30"/>
        <v>30</v>
      </c>
      <c r="M143" t="s">
        <v>545</v>
      </c>
      <c r="N143" t="s">
        <v>546</v>
      </c>
      <c r="S143" s="171">
        <f t="shared" si="34"/>
        <v>50457.599999999999</v>
      </c>
      <c r="U143" s="194">
        <f t="shared" si="35"/>
        <v>14016</v>
      </c>
      <c r="W143" s="195">
        <f t="shared" si="36"/>
        <v>1.6819199999999999</v>
      </c>
      <c r="AF143" s="171">
        <f t="shared" si="37"/>
        <v>21696.768</v>
      </c>
      <c r="AH143" s="195">
        <f t="shared" si="38"/>
        <v>0.72322560000000002</v>
      </c>
      <c r="AJ143" s="164">
        <v>0.08</v>
      </c>
      <c r="AK143" s="171">
        <f t="shared" si="31"/>
        <v>21024</v>
      </c>
      <c r="AM143">
        <v>20</v>
      </c>
      <c r="AN143" s="171">
        <f t="shared" si="32"/>
        <v>420480</v>
      </c>
      <c r="AO143" s="199">
        <f t="shared" si="39"/>
        <v>14016000</v>
      </c>
      <c r="AR143" s="195">
        <f t="shared" si="41"/>
        <v>30</v>
      </c>
      <c r="AT143" s="195">
        <v>0.12</v>
      </c>
      <c r="AV143" s="195">
        <f t="shared" si="40"/>
        <v>3.3333333333333333E-2</v>
      </c>
      <c r="AY143" s="195">
        <v>51.6</v>
      </c>
    </row>
    <row r="144" spans="1:51">
      <c r="A144" s="13" t="str">
        <f t="shared" si="28"/>
        <v>\cite{Lenzen2004}</v>
      </c>
      <c r="B144" t="s">
        <v>428</v>
      </c>
      <c r="C144">
        <v>2004</v>
      </c>
      <c r="E144" s="13">
        <f t="shared" si="33"/>
        <v>2004</v>
      </c>
      <c r="F144" s="155">
        <f>LOOKUP(E144,Total_wind_installed_capacity!$A$3:$A$34,Total_wind_installed_capacity!$H$3:$H$34)</f>
        <v>46.3964675</v>
      </c>
      <c r="J144" s="170">
        <v>150</v>
      </c>
      <c r="K144">
        <v>1</v>
      </c>
      <c r="L144" s="188">
        <f t="shared" si="30"/>
        <v>150</v>
      </c>
      <c r="M144" t="s">
        <v>545</v>
      </c>
      <c r="N144" t="s">
        <v>546</v>
      </c>
      <c r="S144" s="171">
        <f t="shared" si="34"/>
        <v>473040</v>
      </c>
      <c r="U144" s="194">
        <f t="shared" si="35"/>
        <v>131400</v>
      </c>
      <c r="W144" s="195">
        <f t="shared" si="36"/>
        <v>3.1536</v>
      </c>
      <c r="AF144" s="171">
        <f t="shared" si="37"/>
        <v>77788.800000000003</v>
      </c>
      <c r="AH144" s="195">
        <f t="shared" si="38"/>
        <v>0.51859199999999994</v>
      </c>
      <c r="AJ144" s="164">
        <v>0.1</v>
      </c>
      <c r="AK144" s="171">
        <f t="shared" si="31"/>
        <v>131400</v>
      </c>
      <c r="AM144">
        <v>20</v>
      </c>
      <c r="AN144" s="171">
        <f t="shared" si="32"/>
        <v>2628000</v>
      </c>
      <c r="AO144" s="199">
        <f t="shared" si="39"/>
        <v>17520000</v>
      </c>
      <c r="AR144" s="195">
        <f t="shared" si="41"/>
        <v>20</v>
      </c>
      <c r="AT144" s="195">
        <v>0.18</v>
      </c>
      <c r="AV144" s="195">
        <f t="shared" si="40"/>
        <v>4.9999999999999996E-2</v>
      </c>
      <c r="AY144" s="195">
        <v>29.6</v>
      </c>
    </row>
    <row r="145" spans="1:53">
      <c r="A145" s="13" t="str">
        <f t="shared" si="28"/>
        <v>\cite{Vestas.2004}</v>
      </c>
      <c r="B145" t="s">
        <v>532</v>
      </c>
      <c r="C145">
        <v>2004</v>
      </c>
      <c r="E145" s="13">
        <f t="shared" si="33"/>
        <v>2004</v>
      </c>
      <c r="F145" s="155">
        <f>LOOKUP(E145,Total_wind_installed_capacity!$A$3:$A$34,Total_wind_installed_capacity!$H$3:$H$34)</f>
        <v>46.3964675</v>
      </c>
      <c r="J145" s="170">
        <v>2000</v>
      </c>
      <c r="K145">
        <v>1</v>
      </c>
      <c r="L145" s="188">
        <f t="shared" si="30"/>
        <v>2000</v>
      </c>
      <c r="M145" t="s">
        <v>545</v>
      </c>
      <c r="N145" t="s">
        <v>546</v>
      </c>
      <c r="O145">
        <v>80</v>
      </c>
      <c r="S145" s="171">
        <f t="shared" si="34"/>
        <v>0</v>
      </c>
      <c r="U145" s="194">
        <f t="shared" si="35"/>
        <v>0</v>
      </c>
      <c r="W145" s="195">
        <f t="shared" si="36"/>
        <v>0</v>
      </c>
      <c r="AF145" s="171">
        <f t="shared" si="37"/>
        <v>1268097.6000000001</v>
      </c>
      <c r="AH145" s="195">
        <f t="shared" si="38"/>
        <v>0.63404880000000008</v>
      </c>
      <c r="AJ145" s="164">
        <v>0.47</v>
      </c>
      <c r="AK145" s="171">
        <f t="shared" si="31"/>
        <v>8234400</v>
      </c>
      <c r="AM145">
        <v>20</v>
      </c>
      <c r="AN145" s="171">
        <f t="shared" si="32"/>
        <v>164688000</v>
      </c>
      <c r="AO145" s="199">
        <f t="shared" si="39"/>
        <v>82344000</v>
      </c>
      <c r="AR145" s="202"/>
      <c r="AT145" s="195"/>
      <c r="AV145" s="195">
        <f t="shared" si="40"/>
        <v>0</v>
      </c>
      <c r="AY145" s="195">
        <v>7.7</v>
      </c>
    </row>
    <row r="146" spans="1:53">
      <c r="A146" s="13" t="str">
        <f t="shared" si="28"/>
        <v>\cite{Vestas.2004}</v>
      </c>
      <c r="B146" t="s">
        <v>532</v>
      </c>
      <c r="C146">
        <v>2004</v>
      </c>
      <c r="E146" s="13">
        <f t="shared" si="33"/>
        <v>2004</v>
      </c>
      <c r="F146" s="155">
        <f>LOOKUP(E146,Total_wind_installed_capacity!$A$3:$A$34,Total_wind_installed_capacity!$H$3:$H$34)</f>
        <v>46.3964675</v>
      </c>
      <c r="J146" s="170">
        <v>2000</v>
      </c>
      <c r="K146">
        <v>1</v>
      </c>
      <c r="L146" s="188">
        <f t="shared" si="30"/>
        <v>2000</v>
      </c>
      <c r="M146" t="s">
        <v>545</v>
      </c>
      <c r="N146" t="s">
        <v>546</v>
      </c>
      <c r="O146">
        <v>80</v>
      </c>
      <c r="S146" s="171">
        <f t="shared" si="34"/>
        <v>0</v>
      </c>
      <c r="U146" s="194">
        <f t="shared" si="35"/>
        <v>0</v>
      </c>
      <c r="W146" s="195">
        <f t="shared" si="36"/>
        <v>0</v>
      </c>
      <c r="AF146" s="171">
        <f t="shared" si="37"/>
        <v>765834.23999999999</v>
      </c>
      <c r="AH146" s="195">
        <f t="shared" si="38"/>
        <v>0.38291712</v>
      </c>
      <c r="AJ146" s="164">
        <v>0.32</v>
      </c>
      <c r="AK146" s="171">
        <f t="shared" si="31"/>
        <v>5606400</v>
      </c>
      <c r="AM146">
        <v>20</v>
      </c>
      <c r="AN146" s="171">
        <f t="shared" si="32"/>
        <v>112128000</v>
      </c>
      <c r="AO146" s="199">
        <f t="shared" si="39"/>
        <v>56064000</v>
      </c>
      <c r="AR146" s="202"/>
      <c r="AT146" s="195"/>
      <c r="AV146" s="195">
        <f t="shared" si="40"/>
        <v>0</v>
      </c>
      <c r="AY146" s="195">
        <v>6.83</v>
      </c>
    </row>
    <row r="147" spans="1:53">
      <c r="A147" s="13" t="str">
        <f t="shared" si="28"/>
        <v>\cite{Vestas.2004}</v>
      </c>
      <c r="B147" t="s">
        <v>532</v>
      </c>
      <c r="C147">
        <v>2004</v>
      </c>
      <c r="E147" s="13">
        <f t="shared" si="33"/>
        <v>2004</v>
      </c>
      <c r="F147" s="155">
        <f>LOOKUP(E147,Total_wind_installed_capacity!$A$3:$A$34,Total_wind_installed_capacity!$H$3:$H$34)</f>
        <v>46.3964675</v>
      </c>
      <c r="J147" s="170">
        <v>2000</v>
      </c>
      <c r="K147">
        <v>1</v>
      </c>
      <c r="L147" s="188">
        <f t="shared" si="30"/>
        <v>2000</v>
      </c>
      <c r="M147" t="s">
        <v>545</v>
      </c>
      <c r="N147" t="s">
        <v>547</v>
      </c>
      <c r="O147">
        <v>80</v>
      </c>
      <c r="Q147" t="s">
        <v>561</v>
      </c>
      <c r="S147" s="171">
        <f t="shared" si="34"/>
        <v>0</v>
      </c>
      <c r="U147" s="194">
        <f t="shared" si="35"/>
        <v>0</v>
      </c>
      <c r="W147" s="195">
        <f t="shared" si="36"/>
        <v>0</v>
      </c>
      <c r="AF147" s="171">
        <f t="shared" si="37"/>
        <v>1228222.08</v>
      </c>
      <c r="AH147" s="195">
        <f t="shared" si="38"/>
        <v>0.61411104000000005</v>
      </c>
      <c r="AJ147" s="164">
        <v>0.46</v>
      </c>
      <c r="AK147" s="171">
        <f t="shared" si="31"/>
        <v>8059200</v>
      </c>
      <c r="AM147">
        <v>20</v>
      </c>
      <c r="AN147" s="171">
        <f t="shared" si="32"/>
        <v>161184000</v>
      </c>
      <c r="AO147" s="199">
        <f t="shared" si="39"/>
        <v>80592000</v>
      </c>
      <c r="AR147" s="202"/>
      <c r="AT147" s="195"/>
      <c r="AV147" s="195">
        <f t="shared" si="40"/>
        <v>0</v>
      </c>
      <c r="AY147" s="195">
        <v>7.62</v>
      </c>
    </row>
    <row r="148" spans="1:53">
      <c r="A148" s="13" t="str">
        <f t="shared" si="28"/>
        <v>\cite{Schleisner2000}</v>
      </c>
      <c r="B148" t="s">
        <v>438</v>
      </c>
      <c r="C148">
        <v>2000</v>
      </c>
      <c r="E148" s="13">
        <f t="shared" si="33"/>
        <v>2000</v>
      </c>
      <c r="F148" s="155">
        <f>LOOKUP(E148,Total_wind_installed_capacity!$A$3:$A$34,Total_wind_installed_capacity!$H$3:$H$34)</f>
        <v>16.347073333333334</v>
      </c>
      <c r="J148" s="170">
        <v>500</v>
      </c>
      <c r="K148">
        <v>1</v>
      </c>
      <c r="L148" s="188">
        <f t="shared" si="30"/>
        <v>500</v>
      </c>
      <c r="M148" t="s">
        <v>545</v>
      </c>
      <c r="N148" t="s">
        <v>546</v>
      </c>
      <c r="S148" s="171">
        <f t="shared" si="34"/>
        <v>0</v>
      </c>
      <c r="U148" s="194">
        <f t="shared" si="35"/>
        <v>0</v>
      </c>
      <c r="W148" s="195">
        <f t="shared" si="36"/>
        <v>0</v>
      </c>
      <c r="AF148" s="171">
        <f t="shared" si="37"/>
        <v>212211</v>
      </c>
      <c r="AH148" s="195">
        <f t="shared" si="38"/>
        <v>0.42442200000000002</v>
      </c>
      <c r="AJ148" s="164">
        <v>0.25</v>
      </c>
      <c r="AK148" s="171">
        <f t="shared" si="31"/>
        <v>1095000</v>
      </c>
      <c r="AM148">
        <v>20</v>
      </c>
      <c r="AN148" s="171">
        <f t="shared" si="32"/>
        <v>21900000</v>
      </c>
      <c r="AO148" s="199">
        <f t="shared" si="39"/>
        <v>43800000</v>
      </c>
      <c r="AR148" s="202"/>
      <c r="AT148" s="195"/>
      <c r="AV148" s="195">
        <f t="shared" si="40"/>
        <v>0</v>
      </c>
      <c r="AY148" s="195">
        <v>9.69</v>
      </c>
    </row>
    <row r="149" spans="1:53" s="162" customFormat="1" ht="17" thickBot="1">
      <c r="A149" s="60" t="str">
        <f t="shared" si="28"/>
        <v>\cite{Schleisner2000}</v>
      </c>
      <c r="B149" s="162" t="s">
        <v>438</v>
      </c>
      <c r="C149" s="162">
        <v>2000</v>
      </c>
      <c r="E149" s="60">
        <f t="shared" si="33"/>
        <v>2000</v>
      </c>
      <c r="F149" s="163">
        <f>LOOKUP(E149,Total_wind_installed_capacity!$A$3:$A$34,Total_wind_installed_capacity!$H$3:$H$34)</f>
        <v>16.347073333333334</v>
      </c>
      <c r="H149" s="186"/>
      <c r="J149" s="187">
        <v>500</v>
      </c>
      <c r="K149" s="162">
        <v>1</v>
      </c>
      <c r="L149" s="189">
        <f t="shared" si="30"/>
        <v>500</v>
      </c>
      <c r="M149" s="162" t="s">
        <v>545</v>
      </c>
      <c r="N149" s="162" t="s">
        <v>547</v>
      </c>
      <c r="O149" s="162">
        <v>39</v>
      </c>
      <c r="R149" s="186"/>
      <c r="S149" s="190">
        <f t="shared" si="34"/>
        <v>0</v>
      </c>
      <c r="U149" s="197">
        <f t="shared" si="35"/>
        <v>0</v>
      </c>
      <c r="W149" s="198">
        <f t="shared" si="36"/>
        <v>0</v>
      </c>
      <c r="AE149" s="186"/>
      <c r="AF149" s="190">
        <f t="shared" si="37"/>
        <v>231684.48000000004</v>
      </c>
      <c r="AH149" s="198">
        <f t="shared" si="38"/>
        <v>0.46336896000000005</v>
      </c>
      <c r="AI149" s="186"/>
      <c r="AJ149" s="165">
        <v>0.16</v>
      </c>
      <c r="AK149" s="190">
        <f t="shared" si="31"/>
        <v>700800</v>
      </c>
      <c r="AM149" s="162">
        <v>20</v>
      </c>
      <c r="AN149" s="190">
        <f t="shared" si="32"/>
        <v>14016000</v>
      </c>
      <c r="AO149" s="200">
        <f t="shared" si="39"/>
        <v>28032000</v>
      </c>
      <c r="AR149" s="198"/>
      <c r="AT149" s="198"/>
      <c r="AV149" s="198">
        <f t="shared" si="40"/>
        <v>0</v>
      </c>
      <c r="AX149" s="186"/>
      <c r="AY149" s="201">
        <v>16.53</v>
      </c>
      <c r="BA149" s="186"/>
    </row>
    <row r="150" spans="1:53" ht="17" thickTop="1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77428-FB6D-B84C-B4BA-5A57F53FAB07}">
  <dimension ref="A1:BA363"/>
  <sheetViews>
    <sheetView zoomScaleNormal="100" workbookViewId="0">
      <pane xSplit="3" ySplit="1" topLeftCell="Z2" activePane="bottomRight" state="frozen"/>
      <selection pane="topRight" activeCell="C1" sqref="C1"/>
      <selection pane="bottomLeft" activeCell="A2" sqref="A2"/>
      <selection pane="bottomRight" activeCell="J182" sqref="J182:L183"/>
    </sheetView>
  </sheetViews>
  <sheetFormatPr baseColWidth="10" defaultColWidth="11" defaultRowHeight="16"/>
  <cols>
    <col min="1" max="1" width="16" style="13" bestFit="1" customWidth="1"/>
    <col min="2" max="6" width="11" style="13"/>
    <col min="7" max="7" width="11" style="18"/>
    <col min="8" max="8" width="11" style="13"/>
    <col min="9" max="9" width="11" style="18"/>
    <col min="10" max="12" width="11" style="13"/>
    <col min="13" max="13" width="62" style="21" bestFit="1" customWidth="1"/>
    <col min="14" max="17" width="11" style="13"/>
    <col min="18" max="18" width="18.1640625" style="22" bestFit="1" customWidth="1"/>
    <col min="19" max="19" width="16.6640625" style="13" bestFit="1" customWidth="1"/>
    <col min="20" max="21" width="16.6640625" style="13" customWidth="1"/>
    <col min="22" max="22" width="14" style="13" bestFit="1" customWidth="1"/>
    <col min="23" max="24" width="11" style="13"/>
    <col min="25" max="25" width="12.33203125" style="13" customWidth="1"/>
    <col min="26" max="26" width="11" style="13"/>
    <col min="27" max="27" width="15.5" style="13" bestFit="1" customWidth="1"/>
    <col min="28" max="28" width="14" style="13" bestFit="1" customWidth="1"/>
    <col min="29" max="30" width="11" style="13"/>
    <col min="31" max="31" width="17.6640625" style="18" bestFit="1" customWidth="1"/>
    <col min="32" max="34" width="15" style="13" customWidth="1"/>
    <col min="35" max="35" width="11" style="30"/>
    <col min="36" max="36" width="16" style="31" bestFit="1" customWidth="1"/>
    <col min="37" max="37" width="12.33203125" style="31" bestFit="1" customWidth="1"/>
    <col min="38" max="38" width="11" style="13"/>
    <col min="39" max="39" width="17.6640625" style="20" bestFit="1" customWidth="1"/>
    <col min="40" max="40" width="14.5" style="20" customWidth="1"/>
    <col min="41" max="41" width="11" style="18"/>
    <col min="42" max="48" width="11" style="13"/>
    <col min="49" max="49" width="11.1640625" style="13" bestFit="1" customWidth="1"/>
    <col min="50" max="50" width="11.5" style="18" bestFit="1" customWidth="1"/>
    <col min="51" max="51" width="11" style="13"/>
    <col min="52" max="52" width="11.1640625" style="13" customWidth="1"/>
    <col min="53" max="53" width="57.1640625" style="18" bestFit="1" customWidth="1"/>
    <col min="54" max="16384" width="11" style="13"/>
  </cols>
  <sheetData>
    <row r="1" spans="1:53" s="1" customFormat="1" ht="90">
      <c r="A1" s="1" t="s">
        <v>331</v>
      </c>
      <c r="B1" s="2" t="s">
        <v>0</v>
      </c>
      <c r="C1" s="2" t="s">
        <v>332</v>
      </c>
      <c r="D1" s="2" t="s">
        <v>1</v>
      </c>
      <c r="E1" s="2" t="s">
        <v>2</v>
      </c>
      <c r="F1" s="2" t="s">
        <v>573</v>
      </c>
      <c r="G1" s="3" t="s">
        <v>14</v>
      </c>
      <c r="H1" s="2" t="s">
        <v>333</v>
      </c>
      <c r="I1" s="3" t="s">
        <v>3</v>
      </c>
      <c r="J1" s="2" t="s">
        <v>457</v>
      </c>
      <c r="K1" s="2" t="s">
        <v>4</v>
      </c>
      <c r="L1" s="2" t="s">
        <v>334</v>
      </c>
      <c r="M1" s="5" t="s">
        <v>15</v>
      </c>
      <c r="N1" s="2" t="s">
        <v>16</v>
      </c>
      <c r="O1" s="2" t="s">
        <v>574</v>
      </c>
      <c r="P1" s="2" t="s">
        <v>575</v>
      </c>
      <c r="Q1" s="2" t="s">
        <v>576</v>
      </c>
      <c r="R1" s="3" t="s">
        <v>335</v>
      </c>
      <c r="S1" s="8" t="s">
        <v>578</v>
      </c>
      <c r="T1" s="8" t="s">
        <v>577</v>
      </c>
      <c r="U1" s="8" t="s">
        <v>579</v>
      </c>
      <c r="V1" s="2" t="s">
        <v>5</v>
      </c>
      <c r="W1" s="8" t="s">
        <v>6</v>
      </c>
      <c r="X1" s="2" t="s">
        <v>459</v>
      </c>
      <c r="Y1" s="8" t="s">
        <v>336</v>
      </c>
      <c r="Z1" s="8" t="s">
        <v>580</v>
      </c>
      <c r="AA1" s="8" t="s">
        <v>581</v>
      </c>
      <c r="AB1" s="8" t="s">
        <v>582</v>
      </c>
      <c r="AC1" s="8" t="s">
        <v>583</v>
      </c>
      <c r="AD1" s="8" t="s">
        <v>584</v>
      </c>
      <c r="AE1" s="16" t="s">
        <v>7</v>
      </c>
      <c r="AF1" s="8" t="s">
        <v>8</v>
      </c>
      <c r="AG1" s="8" t="s">
        <v>9</v>
      </c>
      <c r="AH1" s="8" t="s">
        <v>10</v>
      </c>
      <c r="AI1" s="3" t="s">
        <v>337</v>
      </c>
      <c r="AJ1" s="8" t="s">
        <v>585</v>
      </c>
      <c r="AK1" s="8" t="s">
        <v>586</v>
      </c>
      <c r="AL1" s="2" t="s">
        <v>587</v>
      </c>
      <c r="AM1" s="8" t="s">
        <v>588</v>
      </c>
      <c r="AN1" s="8" t="s">
        <v>589</v>
      </c>
      <c r="AO1" s="9" t="s">
        <v>11</v>
      </c>
      <c r="AP1" s="10" t="s">
        <v>12</v>
      </c>
      <c r="AQ1" s="2" t="s">
        <v>329</v>
      </c>
      <c r="AR1" s="2" t="s">
        <v>330</v>
      </c>
      <c r="AS1" s="10" t="s">
        <v>13</v>
      </c>
      <c r="AT1" s="10" t="s">
        <v>590</v>
      </c>
      <c r="AU1" s="4" t="s">
        <v>591</v>
      </c>
      <c r="AV1" s="8" t="s">
        <v>592</v>
      </c>
      <c r="AW1" s="2" t="s">
        <v>383</v>
      </c>
      <c r="AX1" s="3" t="s">
        <v>594</v>
      </c>
      <c r="AY1" s="8" t="s">
        <v>593</v>
      </c>
      <c r="AZ1" s="8" t="s">
        <v>595</v>
      </c>
      <c r="BA1" s="5" t="s">
        <v>17</v>
      </c>
    </row>
    <row r="2" spans="1:53">
      <c r="A2" s="17" t="str">
        <f>CONCATENATE("\cite{",B2,C2,"}")</f>
        <v>\cite{Li2020}</v>
      </c>
      <c r="B2" s="13" t="s">
        <v>18</v>
      </c>
      <c r="C2" s="13">
        <v>2020</v>
      </c>
      <c r="E2" s="13">
        <f>IF(D2&gt;0,D2,C2)</f>
        <v>2020</v>
      </c>
      <c r="F2" s="12">
        <f>LOOKUP(E2,Total_wind_installed_capacity!$A$3:$A$34,Total_wind_installed_capacity!$H$3:$H$34)</f>
        <v>741.39724999999999</v>
      </c>
      <c r="G2" s="18" t="s">
        <v>21</v>
      </c>
      <c r="H2" s="13" t="s">
        <v>22</v>
      </c>
      <c r="I2" s="18" t="s">
        <v>19</v>
      </c>
      <c r="J2" s="19">
        <v>1500</v>
      </c>
      <c r="K2" s="13">
        <v>33</v>
      </c>
      <c r="L2" s="20">
        <f>K2*J2</f>
        <v>49500</v>
      </c>
      <c r="M2" s="21" t="s">
        <v>23</v>
      </c>
      <c r="N2" s="13" t="s">
        <v>24</v>
      </c>
      <c r="Q2" s="13" t="s">
        <v>20</v>
      </c>
      <c r="R2" s="22">
        <f>40764*[1]Unit_conversion!B4</f>
        <v>1194695006.3999999</v>
      </c>
      <c r="T2" s="23">
        <f>R2/3.6</f>
        <v>331859723.99999994</v>
      </c>
      <c r="U2" s="23">
        <f>S2/3.6</f>
        <v>0</v>
      </c>
      <c r="V2" s="6">
        <f>R2/L2/1000</f>
        <v>24.135252654545454</v>
      </c>
      <c r="W2" s="6"/>
      <c r="X2" s="6">
        <f>V2/3.6</f>
        <v>6.7042368484848485</v>
      </c>
      <c r="Y2" s="6"/>
      <c r="Z2" s="13">
        <v>0</v>
      </c>
      <c r="AA2" s="24">
        <f>R2/3.6/100*IF(Z2&gt;0,Z2,30)</f>
        <v>99557917.199999973</v>
      </c>
      <c r="AC2" s="25">
        <f t="shared" ref="AC2:AC33" si="0">IF(AND(AA2&gt;0,AM2&gt;0),AA2/AM2, IF(AU2&gt;0, IF(Z2&gt;0, AU2*Z2/100,AU2*30/100),0))</f>
        <v>4.8451390500291992E-2</v>
      </c>
      <c r="AE2" s="26">
        <f>AX2*AM2/1000</f>
        <v>65383735.999999993</v>
      </c>
      <c r="AF2" s="19"/>
      <c r="AG2" s="25">
        <f>AE2/$L2/1000</f>
        <v>1.3208835555555554</v>
      </c>
      <c r="AH2" s="25">
        <f>AF2/$L2/1000</f>
        <v>0</v>
      </c>
      <c r="AI2" s="27">
        <f>AM2/(8760*L2*AL2)</f>
        <v>0.23693556570268895</v>
      </c>
      <c r="AJ2" s="20">
        <f t="shared" ref="AJ2:AJ36" si="1">AI2*8760*L2</f>
        <v>102739999.99999999</v>
      </c>
      <c r="AK2" s="28"/>
      <c r="AL2" s="13">
        <v>20</v>
      </c>
      <c r="AM2" s="20">
        <f>102.74*AL2*1000000</f>
        <v>2054799999.9999998</v>
      </c>
      <c r="AN2" s="20">
        <f>AM2/L2*1000</f>
        <v>41511111.111111112</v>
      </c>
      <c r="AS2" s="25">
        <f>R2/AM2</f>
        <v>0.58141668600350394</v>
      </c>
      <c r="AT2" s="25"/>
      <c r="AU2" s="25">
        <f>T2/AM2</f>
        <v>0.16150463500097331</v>
      </c>
      <c r="AV2" s="25"/>
      <c r="AW2" s="6"/>
      <c r="AX2" s="29">
        <v>31.82</v>
      </c>
      <c r="AY2" s="25"/>
      <c r="AZ2" s="6"/>
      <c r="BA2" s="18" t="s">
        <v>25</v>
      </c>
    </row>
    <row r="3" spans="1:53">
      <c r="A3" s="17" t="str">
        <f t="shared" ref="A3:A66" si="2">CONCATENATE("\cite{",B3,C3,"}")</f>
        <v>\cite{Wang2019}</v>
      </c>
      <c r="B3" s="13" t="s">
        <v>26</v>
      </c>
      <c r="C3" s="13">
        <v>2019</v>
      </c>
      <c r="E3" s="13">
        <f t="shared" ref="E3:E66" si="3">IF(D3&gt;0,D3,C3)</f>
        <v>2019</v>
      </c>
      <c r="F3" s="12">
        <f>LOOKUP(E3,Total_wind_installed_capacity!$A$3:$A$34,Total_wind_installed_capacity!$H$3:$H$34)</f>
        <v>643.43574999999998</v>
      </c>
      <c r="G3" s="18" t="s">
        <v>27</v>
      </c>
      <c r="H3" s="13" t="s">
        <v>28</v>
      </c>
      <c r="I3" s="18" t="s">
        <v>19</v>
      </c>
      <c r="J3" s="19">
        <v>1500</v>
      </c>
      <c r="K3" s="13">
        <v>33</v>
      </c>
      <c r="L3" s="20">
        <f t="shared" ref="L3:L16" si="4">K3*J3</f>
        <v>49500</v>
      </c>
      <c r="N3" s="13" t="s">
        <v>24</v>
      </c>
      <c r="T3" s="23">
        <f t="shared" ref="T3:U66" si="5">R3/3.6</f>
        <v>0</v>
      </c>
      <c r="U3" s="23">
        <f t="shared" si="5"/>
        <v>0</v>
      </c>
      <c r="V3" s="6"/>
      <c r="W3" s="6"/>
      <c r="AA3" s="24">
        <f t="shared" ref="AA3:AA66" si="6">R3/3.6/100*IF(Z3&gt;0,Z3,30)</f>
        <v>0</v>
      </c>
      <c r="AC3" s="25">
        <f t="shared" si="0"/>
        <v>0</v>
      </c>
      <c r="AE3" s="26">
        <f>AX3*AM3/1000</f>
        <v>58687200</v>
      </c>
      <c r="AF3" s="19"/>
      <c r="AG3" s="25">
        <f>AE3/$L3/1000</f>
        <v>1.1856</v>
      </c>
      <c r="AH3" s="25">
        <f>AF3/$L3/1000</f>
        <v>0</v>
      </c>
      <c r="AI3" s="27">
        <f>AM3/(8760*L3*AL3)</f>
        <v>0.23661270236612703</v>
      </c>
      <c r="AJ3" s="20">
        <f t="shared" si="1"/>
        <v>102599999.99999999</v>
      </c>
      <c r="AK3" s="28"/>
      <c r="AL3" s="13">
        <v>20</v>
      </c>
      <c r="AM3" s="20">
        <f>102.6*AL3*1000000</f>
        <v>2052000000</v>
      </c>
      <c r="AN3" s="20">
        <f>AM3/L3*1000</f>
        <v>41454545.454545453</v>
      </c>
      <c r="AS3" s="25">
        <f t="shared" ref="AS3:AS66" si="7">R3/AM3</f>
        <v>0</v>
      </c>
      <c r="AT3" s="25"/>
      <c r="AU3" s="25">
        <f>AA3/AM3</f>
        <v>0</v>
      </c>
      <c r="AW3" s="6"/>
      <c r="AX3" s="29">
        <v>28.6</v>
      </c>
      <c r="AY3" s="25">
        <v>3.2</v>
      </c>
      <c r="AZ3" s="6"/>
    </row>
    <row r="4" spans="1:53">
      <c r="A4" s="17" t="str">
        <f t="shared" si="2"/>
        <v>\cite{Raugei2016}</v>
      </c>
      <c r="B4" s="13" t="s">
        <v>29</v>
      </c>
      <c r="C4" s="13">
        <v>2016</v>
      </c>
      <c r="E4" s="13">
        <f t="shared" si="3"/>
        <v>2016</v>
      </c>
      <c r="F4" s="12">
        <f>LOOKUP(E4,Total_wind_installed_capacity!$A$3:$A$34,Total_wind_installed_capacity!$H$3:$H$34)</f>
        <v>480.73440000000005</v>
      </c>
      <c r="G4" s="18" t="s">
        <v>27</v>
      </c>
      <c r="I4" s="18" t="s">
        <v>30</v>
      </c>
      <c r="J4" s="19"/>
      <c r="L4" s="20">
        <f t="shared" si="4"/>
        <v>0</v>
      </c>
      <c r="N4" s="13" t="s">
        <v>24</v>
      </c>
      <c r="T4" s="23">
        <f t="shared" si="5"/>
        <v>0</v>
      </c>
      <c r="U4" s="23">
        <f t="shared" si="5"/>
        <v>0</v>
      </c>
      <c r="V4" s="6">
        <f xml:space="preserve"> 9080000/1000000</f>
        <v>9.08</v>
      </c>
      <c r="W4" s="6"/>
      <c r="AA4" s="24">
        <f t="shared" si="6"/>
        <v>0</v>
      </c>
      <c r="AC4" s="25">
        <f t="shared" si="0"/>
        <v>1.5899999999999997E-2</v>
      </c>
      <c r="AG4" s="25"/>
      <c r="AH4" s="25"/>
      <c r="AI4" s="27">
        <v>0.25700000000000001</v>
      </c>
      <c r="AJ4" s="20">
        <f t="shared" si="1"/>
        <v>0</v>
      </c>
      <c r="AK4" s="28"/>
      <c r="AL4" s="13">
        <v>20</v>
      </c>
      <c r="AN4" s="20">
        <f>162000000/3.6</f>
        <v>45000000</v>
      </c>
      <c r="AS4" s="25" t="e">
        <f t="shared" si="7"/>
        <v>#DIV/0!</v>
      </c>
      <c r="AT4" s="25"/>
      <c r="AU4" s="25">
        <f>0.053</f>
        <v>5.2999999999999999E-2</v>
      </c>
      <c r="AW4" s="6"/>
      <c r="AX4" s="29"/>
      <c r="AY4" s="25"/>
      <c r="AZ4" s="6"/>
    </row>
    <row r="5" spans="1:53">
      <c r="A5" s="17" t="str">
        <f t="shared" si="2"/>
        <v>\cite{Raugei2016}</v>
      </c>
      <c r="B5" s="13" t="s">
        <v>29</v>
      </c>
      <c r="C5" s="13">
        <v>2016</v>
      </c>
      <c r="E5" s="13">
        <f t="shared" si="3"/>
        <v>2016</v>
      </c>
      <c r="F5" s="12">
        <f>LOOKUP(E5,Total_wind_installed_capacity!$A$3:$A$34,Total_wind_installed_capacity!$H$3:$H$34)</f>
        <v>480.73440000000005</v>
      </c>
      <c r="G5" s="18" t="s">
        <v>27</v>
      </c>
      <c r="I5" s="18" t="s">
        <v>30</v>
      </c>
      <c r="J5" s="19"/>
      <c r="L5" s="20">
        <f t="shared" si="4"/>
        <v>0</v>
      </c>
      <c r="N5" s="13" t="s">
        <v>24</v>
      </c>
      <c r="T5" s="23">
        <f t="shared" si="5"/>
        <v>0</v>
      </c>
      <c r="U5" s="23">
        <f t="shared" si="5"/>
        <v>0</v>
      </c>
      <c r="V5" s="6">
        <f xml:space="preserve"> 9080000/1000000</f>
        <v>9.08</v>
      </c>
      <c r="W5" s="6"/>
      <c r="AA5" s="24">
        <f t="shared" si="6"/>
        <v>0</v>
      </c>
      <c r="AC5" s="25">
        <f t="shared" si="0"/>
        <v>1.9199999999999998E-2</v>
      </c>
      <c r="AG5" s="25"/>
      <c r="AH5" s="25"/>
      <c r="AI5" s="27">
        <v>0.215</v>
      </c>
      <c r="AJ5" s="20">
        <f t="shared" si="1"/>
        <v>0</v>
      </c>
      <c r="AK5" s="28"/>
      <c r="AL5" s="13">
        <v>20</v>
      </c>
      <c r="AN5" s="20">
        <f>136000000/3.6</f>
        <v>37777777.777777776</v>
      </c>
      <c r="AS5" s="25" t="e">
        <f t="shared" si="7"/>
        <v>#DIV/0!</v>
      </c>
      <c r="AT5" s="25"/>
      <c r="AU5" s="25">
        <f>0.064</f>
        <v>6.4000000000000001E-2</v>
      </c>
      <c r="AW5" s="6"/>
      <c r="AX5" s="29"/>
      <c r="AY5" s="25"/>
      <c r="AZ5" s="6"/>
    </row>
    <row r="6" spans="1:53">
      <c r="A6" s="17" t="str">
        <f t="shared" si="2"/>
        <v>\cite{Raugei2016}</v>
      </c>
      <c r="B6" s="13" t="s">
        <v>29</v>
      </c>
      <c r="C6" s="13">
        <v>2016</v>
      </c>
      <c r="E6" s="13">
        <f t="shared" si="3"/>
        <v>2016</v>
      </c>
      <c r="F6" s="12">
        <f>LOOKUP(E6,Total_wind_installed_capacity!$A$3:$A$34,Total_wind_installed_capacity!$H$3:$H$34)</f>
        <v>480.73440000000005</v>
      </c>
      <c r="G6" s="18" t="s">
        <v>27</v>
      </c>
      <c r="I6" s="18" t="s">
        <v>30</v>
      </c>
      <c r="J6" s="19"/>
      <c r="L6" s="20">
        <f t="shared" si="4"/>
        <v>0</v>
      </c>
      <c r="N6" s="13" t="s">
        <v>24</v>
      </c>
      <c r="T6" s="23">
        <f t="shared" si="5"/>
        <v>0</v>
      </c>
      <c r="U6" s="23">
        <f t="shared" si="5"/>
        <v>0</v>
      </c>
      <c r="V6" s="6">
        <f xml:space="preserve"> 9080000/1000000</f>
        <v>9.08</v>
      </c>
      <c r="W6" s="6"/>
      <c r="AA6" s="24">
        <f t="shared" si="6"/>
        <v>0</v>
      </c>
      <c r="AC6" s="25">
        <f t="shared" si="0"/>
        <v>9.8999999999999991E-3</v>
      </c>
      <c r="AG6" s="25"/>
      <c r="AH6" s="25"/>
      <c r="AI6" s="27">
        <v>0.27900000000000003</v>
      </c>
      <c r="AJ6" s="20">
        <f t="shared" si="1"/>
        <v>0</v>
      </c>
      <c r="AK6" s="28"/>
      <c r="AL6" s="13">
        <v>30</v>
      </c>
      <c r="AN6" s="20">
        <f>264000000/3.6</f>
        <v>73333333.333333328</v>
      </c>
      <c r="AS6" s="25" t="e">
        <f t="shared" si="7"/>
        <v>#DIV/0!</v>
      </c>
      <c r="AT6" s="25"/>
      <c r="AU6" s="25">
        <f>0.033</f>
        <v>3.3000000000000002E-2</v>
      </c>
      <c r="AW6" s="6"/>
      <c r="AX6" s="29"/>
      <c r="AY6" s="25"/>
      <c r="AZ6" s="6"/>
    </row>
    <row r="7" spans="1:53">
      <c r="A7" s="17" t="str">
        <f t="shared" si="2"/>
        <v>\cite{Raugei2016}</v>
      </c>
      <c r="B7" s="13" t="s">
        <v>29</v>
      </c>
      <c r="C7" s="13">
        <v>2016</v>
      </c>
      <c r="E7" s="13">
        <f t="shared" si="3"/>
        <v>2016</v>
      </c>
      <c r="F7" s="12">
        <f>LOOKUP(E7,Total_wind_installed_capacity!$A$3:$A$34,Total_wind_installed_capacity!$H$3:$H$34)</f>
        <v>480.73440000000005</v>
      </c>
      <c r="G7" s="18" t="s">
        <v>27</v>
      </c>
      <c r="I7" s="18" t="s">
        <v>30</v>
      </c>
      <c r="J7" s="19"/>
      <c r="L7" s="20">
        <f t="shared" si="4"/>
        <v>0</v>
      </c>
      <c r="N7" s="13" t="s">
        <v>31</v>
      </c>
      <c r="T7" s="23">
        <f t="shared" si="5"/>
        <v>0</v>
      </c>
      <c r="U7" s="23">
        <f t="shared" si="5"/>
        <v>0</v>
      </c>
      <c r="V7" s="6">
        <f>11300000/1000000</f>
        <v>11.3</v>
      </c>
      <c r="W7" s="6"/>
      <c r="AA7" s="24">
        <f t="shared" si="6"/>
        <v>0</v>
      </c>
      <c r="AC7" s="25">
        <f t="shared" si="0"/>
        <v>1.4999999999999999E-2</v>
      </c>
      <c r="AG7" s="25"/>
      <c r="AH7" s="25"/>
      <c r="AI7" s="27">
        <v>0.33600000000000002</v>
      </c>
      <c r="AJ7" s="20">
        <f t="shared" si="1"/>
        <v>0</v>
      </c>
      <c r="AK7" s="28"/>
      <c r="AL7" s="13">
        <v>20</v>
      </c>
      <c r="AN7" s="20">
        <f>212000000/3.6</f>
        <v>58888888.888888888</v>
      </c>
      <c r="AS7" s="25" t="e">
        <f t="shared" si="7"/>
        <v>#DIV/0!</v>
      </c>
      <c r="AT7" s="25"/>
      <c r="AU7" s="25">
        <f>0.05</f>
        <v>0.05</v>
      </c>
      <c r="AW7" s="6"/>
      <c r="AX7" s="29"/>
      <c r="AY7" s="25"/>
      <c r="AZ7" s="6"/>
    </row>
    <row r="8" spans="1:53">
      <c r="A8" s="17" t="str">
        <f t="shared" si="2"/>
        <v>\cite{Raugei2016}</v>
      </c>
      <c r="B8" s="13" t="s">
        <v>29</v>
      </c>
      <c r="C8" s="13">
        <v>2016</v>
      </c>
      <c r="E8" s="13">
        <f t="shared" si="3"/>
        <v>2016</v>
      </c>
      <c r="F8" s="12">
        <f>LOOKUP(E8,Total_wind_installed_capacity!$A$3:$A$34,Total_wind_installed_capacity!$H$3:$H$34)</f>
        <v>480.73440000000005</v>
      </c>
      <c r="G8" s="18" t="s">
        <v>27</v>
      </c>
      <c r="I8" s="18" t="s">
        <v>30</v>
      </c>
      <c r="J8" s="19"/>
      <c r="L8" s="20">
        <f t="shared" si="4"/>
        <v>0</v>
      </c>
      <c r="N8" s="13" t="s">
        <v>31</v>
      </c>
      <c r="T8" s="23">
        <f t="shared" si="5"/>
        <v>0</v>
      </c>
      <c r="U8" s="23">
        <f t="shared" si="5"/>
        <v>0</v>
      </c>
      <c r="V8" s="6">
        <f>11300000/1000000</f>
        <v>11.3</v>
      </c>
      <c r="W8" s="6"/>
      <c r="AA8" s="24">
        <f t="shared" si="6"/>
        <v>0</v>
      </c>
      <c r="AC8" s="25">
        <f t="shared" si="0"/>
        <v>1.7100000000000001E-2</v>
      </c>
      <c r="AG8" s="25"/>
      <c r="AH8" s="25"/>
      <c r="AI8" s="27">
        <v>0.29499999999999998</v>
      </c>
      <c r="AJ8" s="20">
        <f t="shared" si="1"/>
        <v>0</v>
      </c>
      <c r="AK8" s="28"/>
      <c r="AL8" s="13">
        <v>20</v>
      </c>
      <c r="AN8" s="20">
        <f>186000000/3.6</f>
        <v>51666666.666666664</v>
      </c>
      <c r="AS8" s="25" t="e">
        <f t="shared" si="7"/>
        <v>#DIV/0!</v>
      </c>
      <c r="AT8" s="25"/>
      <c r="AU8" s="25">
        <f>0.057</f>
        <v>5.7000000000000002E-2</v>
      </c>
      <c r="AW8" s="6"/>
      <c r="AX8" s="29"/>
      <c r="AY8" s="25"/>
      <c r="AZ8" s="6"/>
    </row>
    <row r="9" spans="1:53">
      <c r="A9" s="17" t="str">
        <f t="shared" si="2"/>
        <v>\cite{Raugei2016}</v>
      </c>
      <c r="B9" s="13" t="s">
        <v>29</v>
      </c>
      <c r="C9" s="13">
        <v>2016</v>
      </c>
      <c r="E9" s="13">
        <f t="shared" si="3"/>
        <v>2016</v>
      </c>
      <c r="F9" s="12">
        <f>LOOKUP(E9,Total_wind_installed_capacity!$A$3:$A$34,Total_wind_installed_capacity!$H$3:$H$34)</f>
        <v>480.73440000000005</v>
      </c>
      <c r="G9" s="18" t="s">
        <v>27</v>
      </c>
      <c r="I9" s="18" t="s">
        <v>30</v>
      </c>
      <c r="J9" s="19"/>
      <c r="L9" s="20">
        <f t="shared" si="4"/>
        <v>0</v>
      </c>
      <c r="N9" s="13" t="s">
        <v>31</v>
      </c>
      <c r="T9" s="23">
        <f t="shared" si="5"/>
        <v>0</v>
      </c>
      <c r="U9" s="23">
        <f t="shared" si="5"/>
        <v>0</v>
      </c>
      <c r="V9" s="6">
        <f>11300000/1000000</f>
        <v>11.3</v>
      </c>
      <c r="W9" s="6"/>
      <c r="AA9" s="24">
        <f t="shared" si="6"/>
        <v>0</v>
      </c>
      <c r="AC9" s="25">
        <f t="shared" si="0"/>
        <v>8.9999999999999993E-3</v>
      </c>
      <c r="AG9" s="25"/>
      <c r="AH9" s="25"/>
      <c r="AI9" s="27">
        <v>0.375</v>
      </c>
      <c r="AJ9" s="20">
        <f t="shared" si="1"/>
        <v>0</v>
      </c>
      <c r="AK9" s="28"/>
      <c r="AL9" s="13">
        <v>30</v>
      </c>
      <c r="AN9" s="20">
        <f>355000000/3.6</f>
        <v>98611111.111111104</v>
      </c>
      <c r="AS9" s="25" t="e">
        <f t="shared" si="7"/>
        <v>#DIV/0!</v>
      </c>
      <c r="AT9" s="25"/>
      <c r="AU9" s="25">
        <f>0.03</f>
        <v>0.03</v>
      </c>
      <c r="AW9" s="6"/>
      <c r="AX9" s="29"/>
      <c r="AY9" s="25"/>
      <c r="AZ9" s="6"/>
    </row>
    <row r="10" spans="1:53">
      <c r="A10" s="17" t="str">
        <f t="shared" si="2"/>
        <v>\cite{Cao2016}</v>
      </c>
      <c r="B10" s="13" t="s">
        <v>32</v>
      </c>
      <c r="C10" s="13">
        <v>2016</v>
      </c>
      <c r="E10" s="13">
        <f t="shared" si="3"/>
        <v>2016</v>
      </c>
      <c r="F10" s="12">
        <f>LOOKUP(E10,Total_wind_installed_capacity!$A$3:$A$34,Total_wind_installed_capacity!$H$3:$H$34)</f>
        <v>480.73440000000005</v>
      </c>
      <c r="G10" s="18" t="s">
        <v>27</v>
      </c>
      <c r="H10" s="13" t="s">
        <v>33</v>
      </c>
      <c r="I10" s="18" t="s">
        <v>19</v>
      </c>
      <c r="J10" s="19">
        <v>2000</v>
      </c>
      <c r="K10" s="13">
        <v>24</v>
      </c>
      <c r="L10" s="20">
        <f t="shared" si="4"/>
        <v>48000</v>
      </c>
      <c r="N10" s="13" t="s">
        <v>24</v>
      </c>
      <c r="Q10" s="13" t="s">
        <v>20</v>
      </c>
      <c r="R10" s="22">
        <f>246.22*1000000</f>
        <v>246220000</v>
      </c>
      <c r="T10" s="23">
        <f t="shared" si="5"/>
        <v>68394444.444444448</v>
      </c>
      <c r="U10" s="23">
        <f t="shared" si="5"/>
        <v>0</v>
      </c>
      <c r="V10" s="6">
        <f t="shared" ref="V10:W15" si="8">R10/$L10/1000</f>
        <v>5.1295833333333327</v>
      </c>
      <c r="W10" s="6">
        <f t="shared" si="8"/>
        <v>0</v>
      </c>
      <c r="X10" s="6">
        <f t="shared" ref="X10:X15" si="9">V10/3.6</f>
        <v>1.424884259259259</v>
      </c>
      <c r="Y10" s="6"/>
      <c r="AA10" s="24">
        <f t="shared" si="6"/>
        <v>20518333.333333336</v>
      </c>
      <c r="AC10" s="25">
        <f t="shared" si="0"/>
        <v>6.2659052505140587E-3</v>
      </c>
      <c r="AE10" s="26">
        <f>23730.54*1000</f>
        <v>23730540</v>
      </c>
      <c r="AF10" s="19"/>
      <c r="AG10" s="25">
        <f t="shared" ref="AG10:AH15" si="10">AE10/$L10/1000</f>
        <v>0.49438625000000003</v>
      </c>
      <c r="AH10" s="25">
        <f t="shared" si="10"/>
        <v>0</v>
      </c>
      <c r="AI10" s="27">
        <v>0.375</v>
      </c>
      <c r="AJ10" s="20">
        <f t="shared" si="1"/>
        <v>157680000</v>
      </c>
      <c r="AK10" s="28"/>
      <c r="AL10" s="13">
        <v>20</v>
      </c>
      <c r="AM10" s="20">
        <v>3274600000</v>
      </c>
      <c r="AN10" s="20">
        <f>AM10/L10*1000</f>
        <v>68220833.333333328</v>
      </c>
      <c r="AS10" s="25">
        <f t="shared" si="7"/>
        <v>7.5190863006168687E-2</v>
      </c>
      <c r="AT10" s="25"/>
      <c r="AU10" s="25">
        <f>AA10/AM10</f>
        <v>6.2659052505140587E-3</v>
      </c>
      <c r="AX10" s="29">
        <f>AE10/AM10*1000</f>
        <v>7.2468515238502409</v>
      </c>
      <c r="AY10" s="25"/>
    </row>
    <row r="11" spans="1:53">
      <c r="A11" s="17" t="str">
        <f t="shared" si="2"/>
        <v>\cite{Ozoemena2016}</v>
      </c>
      <c r="B11" s="13" t="s">
        <v>34</v>
      </c>
      <c r="C11" s="13">
        <v>2016</v>
      </c>
      <c r="E11" s="13">
        <f t="shared" si="3"/>
        <v>2016</v>
      </c>
      <c r="F11" s="12">
        <f>LOOKUP(E11,Total_wind_installed_capacity!$A$3:$A$34,Total_wind_installed_capacity!$H$3:$H$34)</f>
        <v>480.73440000000005</v>
      </c>
      <c r="G11" s="18" t="s">
        <v>27</v>
      </c>
      <c r="H11" s="13" t="s">
        <v>36</v>
      </c>
      <c r="J11" s="19">
        <v>1500</v>
      </c>
      <c r="K11" s="13">
        <v>1</v>
      </c>
      <c r="L11" s="20">
        <f t="shared" si="4"/>
        <v>1500</v>
      </c>
      <c r="Q11" s="13" t="s">
        <v>35</v>
      </c>
      <c r="R11" s="22">
        <f>11909*1000</f>
        <v>11909000</v>
      </c>
      <c r="S11" s="20">
        <f>218*1000</f>
        <v>218000</v>
      </c>
      <c r="T11" s="23">
        <f t="shared" si="5"/>
        <v>3308055.5555555555</v>
      </c>
      <c r="U11" s="23">
        <f t="shared" si="5"/>
        <v>60555.555555555555</v>
      </c>
      <c r="V11" s="6">
        <f t="shared" si="8"/>
        <v>7.9393333333333329</v>
      </c>
      <c r="W11" s="6">
        <f t="shared" si="8"/>
        <v>0.14533333333333334</v>
      </c>
      <c r="X11" s="6">
        <f t="shared" si="9"/>
        <v>2.2053703703703702</v>
      </c>
      <c r="Y11" s="6"/>
      <c r="AA11" s="24">
        <f t="shared" si="6"/>
        <v>992416.66666666663</v>
      </c>
      <c r="AC11" s="25">
        <f t="shared" si="0"/>
        <v>0</v>
      </c>
      <c r="AE11" s="26">
        <f>932*1000</f>
        <v>932000</v>
      </c>
      <c r="AF11" s="19">
        <f>22*1000</f>
        <v>22000</v>
      </c>
      <c r="AG11" s="25">
        <f t="shared" si="10"/>
        <v>0.6213333333333334</v>
      </c>
      <c r="AH11" s="25">
        <f t="shared" si="10"/>
        <v>1.4666666666666666E-2</v>
      </c>
      <c r="AJ11" s="20">
        <f t="shared" si="1"/>
        <v>0</v>
      </c>
      <c r="AS11" s="25" t="e">
        <f t="shared" si="7"/>
        <v>#DIV/0!</v>
      </c>
      <c r="AT11" s="25"/>
      <c r="AU11" s="25"/>
      <c r="AW11" s="6"/>
      <c r="AX11" s="29"/>
      <c r="AY11" s="25"/>
      <c r="AZ11" s="6"/>
      <c r="BA11" s="18" t="s">
        <v>37</v>
      </c>
    </row>
    <row r="12" spans="1:53">
      <c r="A12" s="17" t="str">
        <f t="shared" si="2"/>
        <v>\cite{Ozoemena2016}</v>
      </c>
      <c r="B12" s="13" t="s">
        <v>34</v>
      </c>
      <c r="C12" s="13">
        <v>2016</v>
      </c>
      <c r="E12" s="13">
        <f t="shared" si="3"/>
        <v>2016</v>
      </c>
      <c r="F12" s="12">
        <f>LOOKUP(E12,Total_wind_installed_capacity!$A$3:$A$34,Total_wind_installed_capacity!$H$3:$H$34)</f>
        <v>480.73440000000005</v>
      </c>
      <c r="G12" s="18" t="s">
        <v>27</v>
      </c>
      <c r="H12" s="13" t="s">
        <v>36</v>
      </c>
      <c r="J12" s="19">
        <v>1500</v>
      </c>
      <c r="K12" s="13">
        <v>1</v>
      </c>
      <c r="L12" s="20">
        <f t="shared" si="4"/>
        <v>1500</v>
      </c>
      <c r="Q12" s="13" t="s">
        <v>35</v>
      </c>
      <c r="R12" s="22">
        <f>13735*1000</f>
        <v>13735000</v>
      </c>
      <c r="S12" s="20">
        <f>244*1000</f>
        <v>244000</v>
      </c>
      <c r="T12" s="23">
        <f t="shared" si="5"/>
        <v>3815277.7777777775</v>
      </c>
      <c r="U12" s="23">
        <f t="shared" si="5"/>
        <v>67777.777777777781</v>
      </c>
      <c r="V12" s="6">
        <f t="shared" si="8"/>
        <v>9.1566666666666663</v>
      </c>
      <c r="W12" s="6">
        <f t="shared" si="8"/>
        <v>0.16266666666666665</v>
      </c>
      <c r="X12" s="6">
        <f t="shared" si="9"/>
        <v>2.5435185185185185</v>
      </c>
      <c r="Y12" s="6"/>
      <c r="AA12" s="24">
        <f t="shared" si="6"/>
        <v>1144583.3333333333</v>
      </c>
      <c r="AC12" s="25">
        <f t="shared" si="0"/>
        <v>0</v>
      </c>
      <c r="AE12" s="26">
        <f>1070*1000</f>
        <v>1070000</v>
      </c>
      <c r="AF12" s="19">
        <f>24*1000</f>
        <v>24000</v>
      </c>
      <c r="AG12" s="25">
        <f t="shared" si="10"/>
        <v>0.71333333333333337</v>
      </c>
      <c r="AH12" s="25">
        <f t="shared" si="10"/>
        <v>1.6E-2</v>
      </c>
      <c r="AJ12" s="20">
        <f t="shared" si="1"/>
        <v>0</v>
      </c>
      <c r="AS12" s="25" t="e">
        <f t="shared" si="7"/>
        <v>#DIV/0!</v>
      </c>
      <c r="AT12" s="25"/>
      <c r="AU12" s="25"/>
      <c r="AW12" s="6"/>
      <c r="AX12" s="29"/>
      <c r="AY12" s="25"/>
      <c r="AZ12" s="6"/>
      <c r="BA12" s="18" t="s">
        <v>38</v>
      </c>
    </row>
    <row r="13" spans="1:53">
      <c r="A13" s="17" t="str">
        <f t="shared" si="2"/>
        <v>\cite{Ozoemena2016}</v>
      </c>
      <c r="B13" s="13" t="s">
        <v>34</v>
      </c>
      <c r="C13" s="13">
        <v>2016</v>
      </c>
      <c r="E13" s="13">
        <f t="shared" si="3"/>
        <v>2016</v>
      </c>
      <c r="F13" s="12">
        <f>LOOKUP(E13,Total_wind_installed_capacity!$A$3:$A$34,Total_wind_installed_capacity!$H$3:$H$34)</f>
        <v>480.73440000000005</v>
      </c>
      <c r="G13" s="18" t="s">
        <v>27</v>
      </c>
      <c r="H13" s="13" t="s">
        <v>36</v>
      </c>
      <c r="J13" s="19">
        <v>1500</v>
      </c>
      <c r="K13" s="13">
        <v>1</v>
      </c>
      <c r="L13" s="20">
        <f t="shared" si="4"/>
        <v>1500</v>
      </c>
      <c r="Q13" s="13" t="s">
        <v>35</v>
      </c>
      <c r="R13" s="22">
        <f>31822*1000</f>
        <v>31822000</v>
      </c>
      <c r="S13" s="20">
        <f>1166*1000</f>
        <v>1166000</v>
      </c>
      <c r="T13" s="23">
        <f t="shared" si="5"/>
        <v>8839444.444444444</v>
      </c>
      <c r="U13" s="23">
        <f t="shared" si="5"/>
        <v>323888.88888888888</v>
      </c>
      <c r="V13" s="6">
        <f t="shared" si="8"/>
        <v>21.214666666666666</v>
      </c>
      <c r="W13" s="6">
        <f t="shared" si="8"/>
        <v>0.77733333333333332</v>
      </c>
      <c r="X13" s="6">
        <f t="shared" si="9"/>
        <v>5.8929629629629625</v>
      </c>
      <c r="Y13" s="6"/>
      <c r="AA13" s="24">
        <f t="shared" si="6"/>
        <v>2651833.333333333</v>
      </c>
      <c r="AC13" s="25">
        <f t="shared" si="0"/>
        <v>0</v>
      </c>
      <c r="AE13" s="26">
        <f>2475*1000</f>
        <v>2475000</v>
      </c>
      <c r="AF13" s="19">
        <f>96*1000</f>
        <v>96000</v>
      </c>
      <c r="AG13" s="25">
        <f t="shared" si="10"/>
        <v>1.65</v>
      </c>
      <c r="AH13" s="25">
        <f t="shared" si="10"/>
        <v>6.4000000000000001E-2</v>
      </c>
      <c r="AJ13" s="20">
        <f t="shared" si="1"/>
        <v>0</v>
      </c>
      <c r="AS13" s="25" t="e">
        <f t="shared" si="7"/>
        <v>#DIV/0!</v>
      </c>
      <c r="AT13" s="25"/>
      <c r="AU13" s="25"/>
      <c r="AW13" s="6"/>
      <c r="AX13" s="29"/>
      <c r="AY13" s="25"/>
      <c r="AZ13" s="6"/>
      <c r="BA13" s="18" t="s">
        <v>39</v>
      </c>
    </row>
    <row r="14" spans="1:53">
      <c r="A14" s="17" t="str">
        <f t="shared" si="2"/>
        <v>\cite{Ozoemena2016}</v>
      </c>
      <c r="B14" s="13" t="s">
        <v>34</v>
      </c>
      <c r="C14" s="13">
        <v>2016</v>
      </c>
      <c r="E14" s="13">
        <f t="shared" si="3"/>
        <v>2016</v>
      </c>
      <c r="F14" s="12">
        <f>LOOKUP(E14,Total_wind_installed_capacity!$A$3:$A$34,Total_wind_installed_capacity!$H$3:$H$34)</f>
        <v>480.73440000000005</v>
      </c>
      <c r="G14" s="18" t="s">
        <v>27</v>
      </c>
      <c r="H14" s="13" t="s">
        <v>36</v>
      </c>
      <c r="J14" s="19">
        <v>1500</v>
      </c>
      <c r="K14" s="13">
        <v>1</v>
      </c>
      <c r="L14" s="20">
        <f t="shared" si="4"/>
        <v>1500</v>
      </c>
      <c r="Q14" s="13" t="s">
        <v>35</v>
      </c>
      <c r="R14" s="22">
        <f>10722*1000</f>
        <v>10722000</v>
      </c>
      <c r="S14" s="20">
        <f>211*1000</f>
        <v>211000</v>
      </c>
      <c r="T14" s="23">
        <f t="shared" si="5"/>
        <v>2978333.3333333335</v>
      </c>
      <c r="U14" s="23">
        <f t="shared" si="5"/>
        <v>58611.111111111109</v>
      </c>
      <c r="V14" s="6">
        <f t="shared" si="8"/>
        <v>7.1479999999999997</v>
      </c>
      <c r="W14" s="6">
        <f t="shared" si="8"/>
        <v>0.14066666666666666</v>
      </c>
      <c r="X14" s="6">
        <f t="shared" si="9"/>
        <v>1.9855555555555555</v>
      </c>
      <c r="Y14" s="6"/>
      <c r="AA14" s="24">
        <f t="shared" si="6"/>
        <v>893500.00000000012</v>
      </c>
      <c r="AC14" s="25">
        <f t="shared" si="0"/>
        <v>0</v>
      </c>
      <c r="AE14" s="26">
        <f>849*1000</f>
        <v>849000</v>
      </c>
      <c r="AF14" s="19">
        <f>22*1000</f>
        <v>22000</v>
      </c>
      <c r="AG14" s="25">
        <f t="shared" si="10"/>
        <v>0.56599999999999995</v>
      </c>
      <c r="AH14" s="25">
        <f t="shared" si="10"/>
        <v>1.4666666666666666E-2</v>
      </c>
      <c r="AJ14" s="20">
        <f t="shared" si="1"/>
        <v>0</v>
      </c>
      <c r="AS14" s="25" t="e">
        <f t="shared" si="7"/>
        <v>#DIV/0!</v>
      </c>
      <c r="AT14" s="25"/>
      <c r="AU14" s="25"/>
      <c r="AW14" s="6"/>
      <c r="AX14" s="29"/>
      <c r="AY14" s="25"/>
      <c r="AZ14" s="6"/>
      <c r="BA14" s="18" t="s">
        <v>40</v>
      </c>
    </row>
    <row r="15" spans="1:53">
      <c r="A15" s="17" t="str">
        <f t="shared" si="2"/>
        <v>\cite{Ozoemena2016}</v>
      </c>
      <c r="B15" s="13" t="s">
        <v>34</v>
      </c>
      <c r="C15" s="13">
        <v>2016</v>
      </c>
      <c r="E15" s="13">
        <f t="shared" si="3"/>
        <v>2016</v>
      </c>
      <c r="F15" s="12">
        <f>LOOKUP(E15,Total_wind_installed_capacity!$A$3:$A$34,Total_wind_installed_capacity!$H$3:$H$34)</f>
        <v>480.73440000000005</v>
      </c>
      <c r="G15" s="18" t="s">
        <v>27</v>
      </c>
      <c r="H15" s="13" t="s">
        <v>36</v>
      </c>
      <c r="J15" s="19">
        <v>1500</v>
      </c>
      <c r="K15" s="13">
        <v>1</v>
      </c>
      <c r="L15" s="20">
        <f t="shared" si="4"/>
        <v>1500</v>
      </c>
      <c r="Q15" s="13" t="s">
        <v>35</v>
      </c>
      <c r="R15" s="22">
        <f>32503*1000</f>
        <v>32503000</v>
      </c>
      <c r="S15" s="20">
        <f>1304*1000</f>
        <v>1304000</v>
      </c>
      <c r="T15" s="23">
        <f t="shared" si="5"/>
        <v>9028611.1111111101</v>
      </c>
      <c r="U15" s="23">
        <f t="shared" si="5"/>
        <v>362222.22222222219</v>
      </c>
      <c r="V15" s="6">
        <f t="shared" si="8"/>
        <v>21.668666666666667</v>
      </c>
      <c r="W15" s="6">
        <f t="shared" si="8"/>
        <v>0.8693333333333334</v>
      </c>
      <c r="X15" s="6">
        <f t="shared" si="9"/>
        <v>6.0190740740740738</v>
      </c>
      <c r="Y15" s="6"/>
      <c r="AA15" s="24">
        <f t="shared" si="6"/>
        <v>2708583.333333333</v>
      </c>
      <c r="AC15" s="25">
        <f t="shared" si="0"/>
        <v>0</v>
      </c>
      <c r="AE15" s="26">
        <f>2529*1000</f>
        <v>2529000</v>
      </c>
      <c r="AF15" s="19">
        <f>108*1000</f>
        <v>108000</v>
      </c>
      <c r="AG15" s="25">
        <f t="shared" si="10"/>
        <v>1.6859999999999999</v>
      </c>
      <c r="AH15" s="25">
        <f t="shared" si="10"/>
        <v>7.1999999999999995E-2</v>
      </c>
      <c r="AJ15" s="20">
        <f t="shared" si="1"/>
        <v>0</v>
      </c>
      <c r="AS15" s="25" t="e">
        <f t="shared" si="7"/>
        <v>#DIV/0!</v>
      </c>
      <c r="AT15" s="25"/>
      <c r="AU15" s="25"/>
      <c r="AW15" s="6"/>
      <c r="AX15" s="29"/>
      <c r="AY15" s="25"/>
      <c r="AZ15" s="6"/>
      <c r="BA15" s="18" t="s">
        <v>41</v>
      </c>
    </row>
    <row r="16" spans="1:53">
      <c r="A16" s="17" t="str">
        <f t="shared" si="2"/>
        <v>\cite{Xue2015}</v>
      </c>
      <c r="B16" s="13" t="s">
        <v>42</v>
      </c>
      <c r="C16" s="13">
        <v>2015</v>
      </c>
      <c r="E16" s="13">
        <f t="shared" si="3"/>
        <v>2015</v>
      </c>
      <c r="F16" s="12">
        <f>LOOKUP(E16,Total_wind_installed_capacity!$A$3:$A$34,Total_wind_installed_capacity!$H$3:$H$34)</f>
        <v>427.65899999999999</v>
      </c>
      <c r="G16" s="18" t="s">
        <v>27</v>
      </c>
      <c r="H16" s="13" t="s">
        <v>33</v>
      </c>
      <c r="I16" s="18" t="s">
        <v>19</v>
      </c>
      <c r="J16" s="19">
        <v>1250</v>
      </c>
      <c r="K16" s="13">
        <v>24</v>
      </c>
      <c r="L16" s="20">
        <f t="shared" si="4"/>
        <v>30000</v>
      </c>
      <c r="N16" s="13" t="s">
        <v>24</v>
      </c>
      <c r="Q16" s="13" t="s">
        <v>20</v>
      </c>
      <c r="T16" s="23">
        <f t="shared" si="5"/>
        <v>0</v>
      </c>
      <c r="U16" s="23">
        <f t="shared" si="5"/>
        <v>0</v>
      </c>
      <c r="V16" s="25"/>
      <c r="W16" s="25"/>
      <c r="AA16" s="24">
        <f t="shared" si="6"/>
        <v>0</v>
      </c>
      <c r="AC16" s="25">
        <f t="shared" si="0"/>
        <v>0</v>
      </c>
      <c r="AI16" s="27">
        <v>0.375</v>
      </c>
      <c r="AJ16" s="20">
        <f t="shared" si="1"/>
        <v>98550000</v>
      </c>
      <c r="AK16" s="28"/>
      <c r="AL16" s="13">
        <v>20</v>
      </c>
      <c r="AM16" s="20">
        <f>110400*1000*AL16</f>
        <v>2208000000</v>
      </c>
      <c r="AN16" s="20">
        <f t="shared" ref="AN16:AN42" si="11">AM16/L16*1000</f>
        <v>73600000</v>
      </c>
      <c r="AS16" s="25">
        <f t="shared" si="7"/>
        <v>0</v>
      </c>
      <c r="AT16" s="25"/>
      <c r="AU16" s="25">
        <f t="shared" ref="AU16:AU43" si="12">AA16/AM16</f>
        <v>0</v>
      </c>
      <c r="AW16" s="6"/>
      <c r="AX16" s="29">
        <f>0.026*1000</f>
        <v>26</v>
      </c>
      <c r="AY16" s="25">
        <f>(2.6-2.3)*0.01*1000</f>
        <v>3.0000000000000027</v>
      </c>
      <c r="AZ16" s="6"/>
      <c r="BA16" s="18" t="s">
        <v>43</v>
      </c>
    </row>
    <row r="17" spans="1:53">
      <c r="A17" s="17" t="str">
        <f t="shared" si="2"/>
        <v>\cite{Kouloumpis2022}</v>
      </c>
      <c r="B17" s="13" t="s">
        <v>44</v>
      </c>
      <c r="C17" s="13">
        <v>2022</v>
      </c>
      <c r="D17" s="13">
        <v>2006</v>
      </c>
      <c r="E17" s="13">
        <f t="shared" si="3"/>
        <v>2006</v>
      </c>
      <c r="F17" s="12">
        <f>LOOKUP(E17,Total_wind_installed_capacity!$A$3:$A$34,Total_wind_installed_capacity!$H$3:$H$34)</f>
        <v>71.980399999999989</v>
      </c>
      <c r="G17" s="18" t="s">
        <v>27</v>
      </c>
      <c r="H17" s="13" t="s">
        <v>22</v>
      </c>
      <c r="I17" s="18" t="s">
        <v>30</v>
      </c>
      <c r="J17" s="19">
        <f>L17/K17</f>
        <v>3000</v>
      </c>
      <c r="K17" s="13">
        <v>30</v>
      </c>
      <c r="L17" s="20">
        <f>90*1000</f>
        <v>90000</v>
      </c>
      <c r="M17" s="21" t="s">
        <v>45</v>
      </c>
      <c r="N17" s="13" t="s">
        <v>31</v>
      </c>
      <c r="Q17" s="13" t="s">
        <v>20</v>
      </c>
      <c r="T17" s="23">
        <f t="shared" si="5"/>
        <v>0</v>
      </c>
      <c r="U17" s="23">
        <f t="shared" si="5"/>
        <v>0</v>
      </c>
      <c r="V17" s="25"/>
      <c r="W17" s="25"/>
      <c r="AA17" s="24">
        <f t="shared" si="6"/>
        <v>0</v>
      </c>
      <c r="AC17" s="25">
        <f t="shared" si="0"/>
        <v>0</v>
      </c>
      <c r="AE17" s="32">
        <f>50619.63*1000</f>
        <v>50619630</v>
      </c>
      <c r="AG17" s="25">
        <f>AE17/$L17/1000</f>
        <v>0.56244033333333332</v>
      </c>
      <c r="AI17" s="27">
        <v>0.35599999999999998</v>
      </c>
      <c r="AJ17" s="20">
        <f t="shared" si="1"/>
        <v>280670400</v>
      </c>
      <c r="AK17" s="28"/>
      <c r="AL17" s="13">
        <v>20</v>
      </c>
      <c r="AM17" s="20">
        <f>AJ17*AL17</f>
        <v>5613408000</v>
      </c>
      <c r="AN17" s="20">
        <f t="shared" si="11"/>
        <v>62371200</v>
      </c>
      <c r="AS17" s="25">
        <f t="shared" si="7"/>
        <v>0</v>
      </c>
      <c r="AT17" s="25"/>
      <c r="AU17" s="25">
        <f t="shared" si="12"/>
        <v>0</v>
      </c>
      <c r="AW17" s="6"/>
      <c r="AX17" s="29">
        <f t="shared" ref="AX17:AX41" si="13">AE17*1000/AM17</f>
        <v>9.0176288628939858</v>
      </c>
      <c r="AY17" s="25"/>
      <c r="AZ17" s="6"/>
      <c r="BA17" s="18" t="s">
        <v>46</v>
      </c>
    </row>
    <row r="18" spans="1:53">
      <c r="A18" s="17" t="str">
        <f t="shared" si="2"/>
        <v>\cite{Kouloumpis2022}</v>
      </c>
      <c r="B18" s="13" t="s">
        <v>44</v>
      </c>
      <c r="C18" s="13">
        <v>2022</v>
      </c>
      <c r="D18" s="13">
        <v>2000</v>
      </c>
      <c r="E18" s="13">
        <f t="shared" si="3"/>
        <v>2000</v>
      </c>
      <c r="F18" s="12">
        <f>LOOKUP(E18,Total_wind_installed_capacity!$A$3:$A$34,Total_wind_installed_capacity!$H$3:$H$34)</f>
        <v>16.347073333333334</v>
      </c>
      <c r="G18" s="18" t="s">
        <v>27</v>
      </c>
      <c r="H18" s="13" t="s">
        <v>22</v>
      </c>
      <c r="I18" s="18" t="s">
        <v>30</v>
      </c>
      <c r="J18" s="19">
        <f t="shared" ref="J18:J35" si="14">L18/K18</f>
        <v>2000</v>
      </c>
      <c r="K18" s="13">
        <v>2</v>
      </c>
      <c r="L18" s="20">
        <f>4*1000</f>
        <v>4000</v>
      </c>
      <c r="M18" s="21" t="s">
        <v>47</v>
      </c>
      <c r="N18" s="13" t="s">
        <v>31</v>
      </c>
      <c r="Q18" s="13" t="s">
        <v>20</v>
      </c>
      <c r="T18" s="23">
        <f t="shared" si="5"/>
        <v>0</v>
      </c>
      <c r="U18" s="23">
        <f t="shared" si="5"/>
        <v>0</v>
      </c>
      <c r="V18" s="25"/>
      <c r="W18" s="25"/>
      <c r="AA18" s="24">
        <f t="shared" si="6"/>
        <v>0</v>
      </c>
      <c r="AC18" s="25">
        <f t="shared" si="0"/>
        <v>0</v>
      </c>
      <c r="AE18" s="32">
        <f>1569.77*1000</f>
        <v>1569770</v>
      </c>
      <c r="AG18" s="25">
        <f t="shared" ref="AG18:AG35" si="15">AE18/$L18/1000</f>
        <v>0.39244249999999997</v>
      </c>
      <c r="AI18" s="27">
        <v>0.114</v>
      </c>
      <c r="AJ18" s="20">
        <f t="shared" si="1"/>
        <v>3994560</v>
      </c>
      <c r="AK18" s="28"/>
      <c r="AL18" s="13">
        <v>20</v>
      </c>
      <c r="AM18" s="20">
        <f t="shared" ref="AM18:AM42" si="16">AJ18*AL18</f>
        <v>79891200</v>
      </c>
      <c r="AN18" s="20">
        <f t="shared" si="11"/>
        <v>19972800</v>
      </c>
      <c r="AS18" s="25">
        <f t="shared" si="7"/>
        <v>0</v>
      </c>
      <c r="AT18" s="25"/>
      <c r="AU18" s="25">
        <f t="shared" si="12"/>
        <v>0</v>
      </c>
      <c r="AW18" s="6"/>
      <c r="AX18" s="29">
        <f t="shared" si="13"/>
        <v>19.648847432508212</v>
      </c>
      <c r="AY18" s="25"/>
      <c r="AZ18" s="6"/>
      <c r="BA18" s="18" t="s">
        <v>48</v>
      </c>
    </row>
    <row r="19" spans="1:53">
      <c r="A19" s="17" t="str">
        <f t="shared" si="2"/>
        <v>\cite{Kouloumpis2022}</v>
      </c>
      <c r="B19" s="13" t="s">
        <v>44</v>
      </c>
      <c r="C19" s="13">
        <v>2022</v>
      </c>
      <c r="D19" s="13">
        <v>2007</v>
      </c>
      <c r="E19" s="13">
        <f t="shared" si="3"/>
        <v>2007</v>
      </c>
      <c r="F19" s="12">
        <f>LOOKUP(E19,Total_wind_installed_capacity!$A$3:$A$34,Total_wind_installed_capacity!$H$3:$H$34)</f>
        <v>91.070114500000003</v>
      </c>
      <c r="G19" s="18" t="s">
        <v>27</v>
      </c>
      <c r="H19" s="13" t="s">
        <v>22</v>
      </c>
      <c r="I19" s="18" t="s">
        <v>30</v>
      </c>
      <c r="J19" s="19">
        <f t="shared" si="14"/>
        <v>3600</v>
      </c>
      <c r="K19" s="13">
        <v>25</v>
      </c>
      <c r="L19" s="20">
        <f>90*1000</f>
        <v>90000</v>
      </c>
      <c r="M19" s="21" t="s">
        <v>49</v>
      </c>
      <c r="N19" s="13" t="s">
        <v>31</v>
      </c>
      <c r="Q19" s="13" t="s">
        <v>20</v>
      </c>
      <c r="T19" s="23">
        <f t="shared" si="5"/>
        <v>0</v>
      </c>
      <c r="U19" s="23">
        <f t="shared" si="5"/>
        <v>0</v>
      </c>
      <c r="V19" s="25"/>
      <c r="W19" s="25"/>
      <c r="AA19" s="24">
        <f t="shared" si="6"/>
        <v>0</v>
      </c>
      <c r="AC19" s="25">
        <f t="shared" si="0"/>
        <v>0</v>
      </c>
      <c r="AE19" s="32">
        <f>43438.94*1000</f>
        <v>43438940</v>
      </c>
      <c r="AG19" s="25">
        <f t="shared" si="15"/>
        <v>0.48265488888888886</v>
      </c>
      <c r="AI19" s="27">
        <v>0.35</v>
      </c>
      <c r="AJ19" s="20">
        <f t="shared" si="1"/>
        <v>275940000</v>
      </c>
      <c r="AK19" s="28"/>
      <c r="AL19" s="13">
        <v>20</v>
      </c>
      <c r="AM19" s="20">
        <f t="shared" si="16"/>
        <v>5518800000</v>
      </c>
      <c r="AN19" s="20">
        <f t="shared" si="11"/>
        <v>61320000</v>
      </c>
      <c r="AS19" s="25">
        <f t="shared" si="7"/>
        <v>0</v>
      </c>
      <c r="AT19" s="25"/>
      <c r="AU19" s="25">
        <f t="shared" si="12"/>
        <v>0</v>
      </c>
      <c r="AW19" s="6"/>
      <c r="AX19" s="29">
        <f t="shared" si="13"/>
        <v>7.8710842936870336</v>
      </c>
      <c r="AY19" s="25"/>
      <c r="AZ19" s="6"/>
      <c r="BA19" s="18" t="s">
        <v>50</v>
      </c>
    </row>
    <row r="20" spans="1:53">
      <c r="A20" s="17" t="str">
        <f t="shared" si="2"/>
        <v>\cite{Kouloumpis2022}</v>
      </c>
      <c r="B20" s="13" t="s">
        <v>44</v>
      </c>
      <c r="C20" s="13">
        <v>2022</v>
      </c>
      <c r="D20" s="13">
        <v>2012</v>
      </c>
      <c r="E20" s="13">
        <f t="shared" si="3"/>
        <v>2012</v>
      </c>
      <c r="F20" s="12">
        <f>LOOKUP(E20,Total_wind_installed_capacity!$A$3:$A$34,Total_wind_installed_capacity!$H$3:$H$34)</f>
        <v>270.84683750000005</v>
      </c>
      <c r="G20" s="18" t="s">
        <v>27</v>
      </c>
      <c r="H20" s="13" t="s">
        <v>22</v>
      </c>
      <c r="I20" s="18" t="s">
        <v>30</v>
      </c>
      <c r="J20" s="19">
        <f t="shared" si="14"/>
        <v>3600</v>
      </c>
      <c r="K20" s="13">
        <v>140</v>
      </c>
      <c r="L20" s="20">
        <v>504000</v>
      </c>
      <c r="M20" s="21" t="s">
        <v>49</v>
      </c>
      <c r="N20" s="13" t="s">
        <v>31</v>
      </c>
      <c r="Q20" s="13" t="s">
        <v>20</v>
      </c>
      <c r="T20" s="23">
        <f t="shared" si="5"/>
        <v>0</v>
      </c>
      <c r="U20" s="23">
        <f t="shared" si="5"/>
        <v>0</v>
      </c>
      <c r="V20" s="25"/>
      <c r="W20" s="25"/>
      <c r="AA20" s="24">
        <f t="shared" si="6"/>
        <v>0</v>
      </c>
      <c r="AC20" s="25">
        <f t="shared" si="0"/>
        <v>0</v>
      </c>
      <c r="AE20" s="32">
        <f>401097.66*1000</f>
        <v>401097660</v>
      </c>
      <c r="AG20" s="25">
        <f t="shared" si="15"/>
        <v>0.79582869047619043</v>
      </c>
      <c r="AI20" s="27">
        <v>0.36399999999999999</v>
      </c>
      <c r="AJ20" s="20">
        <f t="shared" si="1"/>
        <v>1607074560</v>
      </c>
      <c r="AK20" s="28"/>
      <c r="AL20" s="13">
        <v>20</v>
      </c>
      <c r="AM20" s="20">
        <f t="shared" si="16"/>
        <v>32141491200</v>
      </c>
      <c r="AN20" s="20">
        <f t="shared" si="11"/>
        <v>63772800</v>
      </c>
      <c r="AS20" s="25">
        <f t="shared" si="7"/>
        <v>0</v>
      </c>
      <c r="AT20" s="25"/>
      <c r="AU20" s="25">
        <f t="shared" si="12"/>
        <v>0</v>
      </c>
      <c r="AW20" s="6"/>
      <c r="AX20" s="29">
        <f t="shared" si="13"/>
        <v>12.479124179527799</v>
      </c>
      <c r="AY20" s="25"/>
      <c r="AZ20" s="6"/>
      <c r="BA20" s="18" t="s">
        <v>51</v>
      </c>
    </row>
    <row r="21" spans="1:53">
      <c r="A21" s="17" t="str">
        <f t="shared" si="2"/>
        <v>\cite{Kouloumpis2022}</v>
      </c>
      <c r="B21" s="13" t="s">
        <v>44</v>
      </c>
      <c r="C21" s="13">
        <v>2022</v>
      </c>
      <c r="D21" s="13">
        <v>2010</v>
      </c>
      <c r="E21" s="13">
        <f t="shared" si="3"/>
        <v>2010</v>
      </c>
      <c r="F21" s="12">
        <f>LOOKUP(E21,Total_wind_installed_capacity!$A$3:$A$34,Total_wind_installed_capacity!$H$3:$H$34)</f>
        <v>183.5233025</v>
      </c>
      <c r="G21" s="18" t="s">
        <v>27</v>
      </c>
      <c r="H21" s="13" t="s">
        <v>22</v>
      </c>
      <c r="I21" s="18" t="s">
        <v>30</v>
      </c>
      <c r="J21" s="19">
        <f t="shared" si="14"/>
        <v>3600</v>
      </c>
      <c r="K21" s="13">
        <v>48</v>
      </c>
      <c r="L21" s="20">
        <f>172.8*1000</f>
        <v>172800</v>
      </c>
      <c r="M21" s="21" t="s">
        <v>49</v>
      </c>
      <c r="N21" s="13" t="s">
        <v>31</v>
      </c>
      <c r="Q21" s="13" t="s">
        <v>20</v>
      </c>
      <c r="T21" s="23">
        <f t="shared" si="5"/>
        <v>0</v>
      </c>
      <c r="U21" s="23">
        <f t="shared" si="5"/>
        <v>0</v>
      </c>
      <c r="V21" s="25"/>
      <c r="W21" s="25"/>
      <c r="AA21" s="24">
        <f t="shared" si="6"/>
        <v>0</v>
      </c>
      <c r="AC21" s="25">
        <f t="shared" si="0"/>
        <v>0</v>
      </c>
      <c r="AE21" s="32">
        <f>93168.39*1000</f>
        <v>93168390</v>
      </c>
      <c r="AG21" s="25">
        <f t="shared" si="15"/>
        <v>0.53916892361111113</v>
      </c>
      <c r="AI21" s="27">
        <v>0.35499999999999998</v>
      </c>
      <c r="AJ21" s="20">
        <f t="shared" si="1"/>
        <v>537373440</v>
      </c>
      <c r="AK21" s="28"/>
      <c r="AL21" s="13">
        <v>20</v>
      </c>
      <c r="AM21" s="20">
        <f t="shared" si="16"/>
        <v>10747468800</v>
      </c>
      <c r="AN21" s="20">
        <f t="shared" si="11"/>
        <v>62196000</v>
      </c>
      <c r="AS21" s="25">
        <f t="shared" si="7"/>
        <v>0</v>
      </c>
      <c r="AT21" s="25"/>
      <c r="AU21" s="25">
        <f t="shared" si="12"/>
        <v>0</v>
      </c>
      <c r="AW21" s="6"/>
      <c r="AX21" s="29">
        <f t="shared" si="13"/>
        <v>8.6688681524713989</v>
      </c>
      <c r="AY21" s="25"/>
      <c r="AZ21" s="6"/>
      <c r="BA21" s="18" t="s">
        <v>52</v>
      </c>
    </row>
    <row r="22" spans="1:53">
      <c r="A22" s="17" t="str">
        <f t="shared" si="2"/>
        <v>\cite{Kouloumpis2022}</v>
      </c>
      <c r="B22" s="13" t="s">
        <v>44</v>
      </c>
      <c r="C22" s="13">
        <v>2022</v>
      </c>
      <c r="D22" s="13">
        <v>2005</v>
      </c>
      <c r="E22" s="13">
        <f t="shared" si="3"/>
        <v>2005</v>
      </c>
      <c r="F22" s="12">
        <f>LOOKUP(E22,Total_wind_installed_capacity!$A$3:$A$34,Total_wind_installed_capacity!$H$3:$H$34)</f>
        <v>57.6165175</v>
      </c>
      <c r="G22" s="18" t="s">
        <v>27</v>
      </c>
      <c r="H22" s="13" t="s">
        <v>22</v>
      </c>
      <c r="I22" s="18" t="s">
        <v>30</v>
      </c>
      <c r="J22" s="19">
        <f t="shared" si="14"/>
        <v>3000</v>
      </c>
      <c r="K22" s="13">
        <v>30</v>
      </c>
      <c r="L22" s="20">
        <f>90*1000</f>
        <v>90000</v>
      </c>
      <c r="M22" s="21" t="s">
        <v>45</v>
      </c>
      <c r="N22" s="13" t="s">
        <v>31</v>
      </c>
      <c r="Q22" s="13" t="s">
        <v>20</v>
      </c>
      <c r="T22" s="23">
        <f t="shared" si="5"/>
        <v>0</v>
      </c>
      <c r="U22" s="23">
        <f t="shared" si="5"/>
        <v>0</v>
      </c>
      <c r="V22" s="25"/>
      <c r="W22" s="25"/>
      <c r="AA22" s="24">
        <f t="shared" si="6"/>
        <v>0</v>
      </c>
      <c r="AC22" s="25">
        <f t="shared" si="0"/>
        <v>0</v>
      </c>
      <c r="AE22" s="32">
        <f>31876.67*1000</f>
        <v>31876670</v>
      </c>
      <c r="AG22" s="25">
        <f t="shared" si="15"/>
        <v>0.35418522222222221</v>
      </c>
      <c r="AI22" s="27">
        <v>0.315</v>
      </c>
      <c r="AJ22" s="20">
        <f t="shared" si="1"/>
        <v>248346000</v>
      </c>
      <c r="AK22" s="28"/>
      <c r="AL22" s="13">
        <v>20</v>
      </c>
      <c r="AM22" s="20">
        <f t="shared" si="16"/>
        <v>4966920000</v>
      </c>
      <c r="AN22" s="20">
        <f t="shared" si="11"/>
        <v>55188000</v>
      </c>
      <c r="AS22" s="25">
        <f t="shared" si="7"/>
        <v>0</v>
      </c>
      <c r="AT22" s="25"/>
      <c r="AU22" s="25">
        <f t="shared" si="12"/>
        <v>0</v>
      </c>
      <c r="AW22" s="6"/>
      <c r="AX22" s="29">
        <f t="shared" si="13"/>
        <v>6.4177941259372009</v>
      </c>
      <c r="AY22" s="25"/>
      <c r="AZ22" s="6"/>
      <c r="BA22" s="18" t="s">
        <v>53</v>
      </c>
    </row>
    <row r="23" spans="1:53">
      <c r="A23" s="17" t="str">
        <f t="shared" si="2"/>
        <v>\cite{Kouloumpis2022}</v>
      </c>
      <c r="B23" s="13" t="s">
        <v>44</v>
      </c>
      <c r="C23" s="13">
        <v>2022</v>
      </c>
      <c r="D23" s="13">
        <v>2013</v>
      </c>
      <c r="E23" s="13">
        <f t="shared" si="3"/>
        <v>2013</v>
      </c>
      <c r="F23" s="12">
        <f>LOOKUP(E23,Total_wind_installed_capacity!$A$3:$A$34,Total_wind_installed_capacity!$H$3:$H$34)</f>
        <v>310.36672750000002</v>
      </c>
      <c r="G23" s="18" t="s">
        <v>27</v>
      </c>
      <c r="H23" s="13" t="s">
        <v>22</v>
      </c>
      <c r="I23" s="18" t="s">
        <v>30</v>
      </c>
      <c r="J23" s="19">
        <f t="shared" si="14"/>
        <v>3600</v>
      </c>
      <c r="K23" s="13">
        <v>75</v>
      </c>
      <c r="L23" s="20">
        <f>270*1000</f>
        <v>270000</v>
      </c>
      <c r="M23" s="21" t="s">
        <v>54</v>
      </c>
      <c r="N23" s="13" t="s">
        <v>31</v>
      </c>
      <c r="Q23" s="13" t="s">
        <v>20</v>
      </c>
      <c r="T23" s="23">
        <f t="shared" si="5"/>
        <v>0</v>
      </c>
      <c r="U23" s="23">
        <f t="shared" si="5"/>
        <v>0</v>
      </c>
      <c r="V23" s="25"/>
      <c r="W23" s="25"/>
      <c r="AA23" s="24">
        <f t="shared" si="6"/>
        <v>0</v>
      </c>
      <c r="AC23" s="25">
        <f t="shared" si="0"/>
        <v>0</v>
      </c>
      <c r="AE23" s="32">
        <f>167354.97*1000</f>
        <v>167354970</v>
      </c>
      <c r="AG23" s="25">
        <f t="shared" si="15"/>
        <v>0.61983322222222226</v>
      </c>
      <c r="AI23" s="27">
        <v>0.34200000000000003</v>
      </c>
      <c r="AJ23" s="20">
        <f t="shared" si="1"/>
        <v>808898400</v>
      </c>
      <c r="AK23" s="28"/>
      <c r="AL23" s="13">
        <v>20</v>
      </c>
      <c r="AM23" s="20">
        <f t="shared" si="16"/>
        <v>16177968000</v>
      </c>
      <c r="AN23" s="20">
        <f t="shared" si="11"/>
        <v>59918400</v>
      </c>
      <c r="AS23" s="25">
        <f t="shared" si="7"/>
        <v>0</v>
      </c>
      <c r="AT23" s="25"/>
      <c r="AU23" s="25">
        <f t="shared" si="12"/>
        <v>0</v>
      </c>
      <c r="AW23" s="6"/>
      <c r="AX23" s="29">
        <f t="shared" si="13"/>
        <v>10.344622390154314</v>
      </c>
      <c r="AY23" s="25"/>
      <c r="AZ23" s="6"/>
      <c r="BA23" s="18" t="s">
        <v>55</v>
      </c>
    </row>
    <row r="24" spans="1:53">
      <c r="A24" s="17" t="str">
        <f t="shared" si="2"/>
        <v>\cite{Kouloumpis2022}</v>
      </c>
      <c r="B24" s="13" t="s">
        <v>44</v>
      </c>
      <c r="C24" s="13">
        <v>2022</v>
      </c>
      <c r="D24" s="13">
        <v>2013</v>
      </c>
      <c r="E24" s="13">
        <f t="shared" si="3"/>
        <v>2013</v>
      </c>
      <c r="F24" s="12">
        <f>LOOKUP(E24,Total_wind_installed_capacity!$A$3:$A$34,Total_wind_installed_capacity!$H$3:$H$34)</f>
        <v>310.36672750000002</v>
      </c>
      <c r="G24" s="18" t="s">
        <v>27</v>
      </c>
      <c r="H24" s="13" t="s">
        <v>22</v>
      </c>
      <c r="I24" s="18" t="s">
        <v>30</v>
      </c>
      <c r="J24" s="19">
        <f t="shared" si="14"/>
        <v>3600</v>
      </c>
      <c r="K24" s="13">
        <v>175</v>
      </c>
      <c r="L24" s="20">
        <f>630*1000</f>
        <v>630000</v>
      </c>
      <c r="M24" s="21" t="s">
        <v>54</v>
      </c>
      <c r="N24" s="13" t="s">
        <v>31</v>
      </c>
      <c r="Q24" s="13" t="s">
        <v>20</v>
      </c>
      <c r="T24" s="23">
        <f t="shared" si="5"/>
        <v>0</v>
      </c>
      <c r="U24" s="23">
        <f t="shared" si="5"/>
        <v>0</v>
      </c>
      <c r="V24" s="25"/>
      <c r="W24" s="25"/>
      <c r="AA24" s="24">
        <f t="shared" si="6"/>
        <v>0</v>
      </c>
      <c r="AC24" s="25">
        <f t="shared" si="0"/>
        <v>0</v>
      </c>
      <c r="AE24" s="32">
        <f>436789*1000</f>
        <v>436789000</v>
      </c>
      <c r="AG24" s="25">
        <f t="shared" si="15"/>
        <v>0.69331587301587294</v>
      </c>
      <c r="AI24" s="27">
        <v>0.41699999999999998</v>
      </c>
      <c r="AJ24" s="20">
        <f t="shared" si="1"/>
        <v>2301339599.9999995</v>
      </c>
      <c r="AK24" s="28"/>
      <c r="AL24" s="13">
        <v>20</v>
      </c>
      <c r="AM24" s="20">
        <f t="shared" si="16"/>
        <v>46026791999.999992</v>
      </c>
      <c r="AN24" s="20">
        <f t="shared" si="11"/>
        <v>73058400</v>
      </c>
      <c r="AS24" s="25">
        <f t="shared" si="7"/>
        <v>0</v>
      </c>
      <c r="AT24" s="25"/>
      <c r="AU24" s="25">
        <f t="shared" si="12"/>
        <v>0</v>
      </c>
      <c r="AW24" s="6"/>
      <c r="AX24" s="29">
        <f t="shared" si="13"/>
        <v>9.4898858039030856</v>
      </c>
      <c r="AY24" s="25"/>
      <c r="AZ24" s="6"/>
      <c r="BA24" s="18" t="s">
        <v>56</v>
      </c>
    </row>
    <row r="25" spans="1:53">
      <c r="A25" s="17" t="str">
        <f t="shared" si="2"/>
        <v>\cite{Kouloumpis2022}</v>
      </c>
      <c r="B25" s="13" t="s">
        <v>44</v>
      </c>
      <c r="C25" s="13">
        <v>2022</v>
      </c>
      <c r="D25" s="13">
        <v>2009</v>
      </c>
      <c r="E25" s="13">
        <f t="shared" si="3"/>
        <v>2009</v>
      </c>
      <c r="F25" s="12">
        <f>LOOKUP(E25,Total_wind_installed_capacity!$A$3:$A$34,Total_wind_installed_capacity!$H$3:$H$34)</f>
        <v>151.3704745</v>
      </c>
      <c r="G25" s="18" t="s">
        <v>27</v>
      </c>
      <c r="H25" s="13" t="s">
        <v>22</v>
      </c>
      <c r="I25" s="18" t="s">
        <v>30</v>
      </c>
      <c r="J25" s="19">
        <f t="shared" si="14"/>
        <v>3600</v>
      </c>
      <c r="K25" s="13">
        <v>54</v>
      </c>
      <c r="L25" s="20">
        <v>194400</v>
      </c>
      <c r="M25" s="21" t="s">
        <v>49</v>
      </c>
      <c r="N25" s="13" t="s">
        <v>31</v>
      </c>
      <c r="Q25" s="13" t="s">
        <v>20</v>
      </c>
      <c r="T25" s="23">
        <f t="shared" si="5"/>
        <v>0</v>
      </c>
      <c r="U25" s="23">
        <f t="shared" si="5"/>
        <v>0</v>
      </c>
      <c r="AA25" s="24">
        <f t="shared" si="6"/>
        <v>0</v>
      </c>
      <c r="AC25" s="25">
        <f t="shared" si="0"/>
        <v>0</v>
      </c>
      <c r="AE25" s="32">
        <f>96531.26*1000</f>
        <v>96531260</v>
      </c>
      <c r="AG25" s="25">
        <f t="shared" si="15"/>
        <v>0.49655997942386831</v>
      </c>
      <c r="AI25" s="27">
        <v>0.34100000000000003</v>
      </c>
      <c r="AJ25" s="20">
        <f t="shared" si="1"/>
        <v>580703904.00000012</v>
      </c>
      <c r="AK25" s="28"/>
      <c r="AL25" s="13">
        <v>20</v>
      </c>
      <c r="AM25" s="20">
        <f t="shared" si="16"/>
        <v>11614078080.000002</v>
      </c>
      <c r="AN25" s="20">
        <f t="shared" si="11"/>
        <v>59743200.000000015</v>
      </c>
      <c r="AS25" s="25">
        <f t="shared" si="7"/>
        <v>0</v>
      </c>
      <c r="AT25" s="25"/>
      <c r="AU25" s="25">
        <f t="shared" si="12"/>
        <v>0</v>
      </c>
      <c r="AW25" s="6"/>
      <c r="AX25" s="29">
        <f t="shared" si="13"/>
        <v>8.3115731903190362</v>
      </c>
      <c r="AY25" s="25"/>
      <c r="AZ25" s="6"/>
      <c r="BA25" s="18" t="s">
        <v>57</v>
      </c>
    </row>
    <row r="26" spans="1:53">
      <c r="A26" s="17" t="str">
        <f t="shared" si="2"/>
        <v>\cite{Kouloumpis2022}</v>
      </c>
      <c r="B26" s="13" t="s">
        <v>44</v>
      </c>
      <c r="C26" s="13">
        <v>2022</v>
      </c>
      <c r="D26" s="13">
        <v>2003</v>
      </c>
      <c r="E26" s="13">
        <f t="shared" si="3"/>
        <v>2003</v>
      </c>
      <c r="F26" s="12">
        <f>LOOKUP(E26,Total_wind_installed_capacity!$A$3:$A$34,Total_wind_installed_capacity!$H$3:$H$34)</f>
        <v>38.113542499999994</v>
      </c>
      <c r="G26" s="18" t="s">
        <v>27</v>
      </c>
      <c r="H26" s="13" t="s">
        <v>22</v>
      </c>
      <c r="I26" s="18" t="s">
        <v>30</v>
      </c>
      <c r="J26" s="19">
        <f t="shared" si="14"/>
        <v>2000</v>
      </c>
      <c r="K26" s="13">
        <v>30</v>
      </c>
      <c r="L26" s="20">
        <v>60000</v>
      </c>
      <c r="M26" s="21" t="s">
        <v>58</v>
      </c>
      <c r="N26" s="13" t="s">
        <v>31</v>
      </c>
      <c r="Q26" s="13" t="s">
        <v>20</v>
      </c>
      <c r="T26" s="23">
        <f t="shared" si="5"/>
        <v>0</v>
      </c>
      <c r="U26" s="23">
        <f t="shared" si="5"/>
        <v>0</v>
      </c>
      <c r="V26" s="25"/>
      <c r="W26" s="25"/>
      <c r="AA26" s="24">
        <f t="shared" si="6"/>
        <v>0</v>
      </c>
      <c r="AC26" s="25">
        <f t="shared" si="0"/>
        <v>0</v>
      </c>
      <c r="AE26" s="32">
        <f>36035.27*1000</f>
        <v>36035270</v>
      </c>
      <c r="AG26" s="25">
        <f t="shared" si="15"/>
        <v>0.60058783333333343</v>
      </c>
      <c r="AI26" s="27">
        <v>0.34100000000000003</v>
      </c>
      <c r="AJ26" s="20">
        <f t="shared" si="1"/>
        <v>179229600.00000003</v>
      </c>
      <c r="AK26" s="28"/>
      <c r="AL26" s="13">
        <v>20</v>
      </c>
      <c r="AM26" s="20">
        <f t="shared" si="16"/>
        <v>3584592000.0000005</v>
      </c>
      <c r="AN26" s="20">
        <f t="shared" si="11"/>
        <v>59743200.000000007</v>
      </c>
      <c r="AS26" s="25">
        <f t="shared" si="7"/>
        <v>0</v>
      </c>
      <c r="AT26" s="25"/>
      <c r="AU26" s="25">
        <f t="shared" si="12"/>
        <v>0</v>
      </c>
      <c r="AW26" s="6"/>
      <c r="AX26" s="29">
        <f t="shared" si="13"/>
        <v>10.05282330597178</v>
      </c>
      <c r="AY26" s="25"/>
      <c r="AZ26" s="6"/>
      <c r="BA26" s="18" t="s">
        <v>59</v>
      </c>
    </row>
    <row r="27" spans="1:53">
      <c r="A27" s="17" t="str">
        <f t="shared" si="2"/>
        <v>\cite{Kouloumpis2022}</v>
      </c>
      <c r="B27" s="13" t="s">
        <v>44</v>
      </c>
      <c r="C27" s="13">
        <v>2022</v>
      </c>
      <c r="D27" s="13">
        <v>2012</v>
      </c>
      <c r="E27" s="13">
        <f t="shared" si="3"/>
        <v>2012</v>
      </c>
      <c r="F27" s="12">
        <f>LOOKUP(E27,Total_wind_installed_capacity!$A$3:$A$34,Total_wind_installed_capacity!$H$3:$H$34)</f>
        <v>270.84683750000005</v>
      </c>
      <c r="G27" s="18" t="s">
        <v>27</v>
      </c>
      <c r="H27" s="13" t="s">
        <v>22</v>
      </c>
      <c r="I27" s="18" t="s">
        <v>30</v>
      </c>
      <c r="J27" s="19">
        <f t="shared" si="14"/>
        <v>5000</v>
      </c>
      <c r="K27" s="13">
        <v>30</v>
      </c>
      <c r="L27" s="20">
        <v>150000</v>
      </c>
      <c r="M27" s="21" t="s">
        <v>60</v>
      </c>
      <c r="N27" s="13" t="s">
        <v>31</v>
      </c>
      <c r="Q27" s="13" t="s">
        <v>20</v>
      </c>
      <c r="T27" s="23">
        <f t="shared" si="5"/>
        <v>0</v>
      </c>
      <c r="U27" s="23">
        <f t="shared" si="5"/>
        <v>0</v>
      </c>
      <c r="V27" s="25"/>
      <c r="W27" s="25"/>
      <c r="AA27" s="24">
        <f t="shared" si="6"/>
        <v>0</v>
      </c>
      <c r="AC27" s="25">
        <f t="shared" si="0"/>
        <v>0</v>
      </c>
      <c r="AE27" s="32">
        <f>87519.71*1000</f>
        <v>87519710</v>
      </c>
      <c r="AG27" s="25">
        <f t="shared" si="15"/>
        <v>0.58346473333333337</v>
      </c>
      <c r="AI27" s="27">
        <v>0.39200000000000002</v>
      </c>
      <c r="AJ27" s="20">
        <f t="shared" si="1"/>
        <v>515088000</v>
      </c>
      <c r="AK27" s="28"/>
      <c r="AL27" s="13">
        <v>20</v>
      </c>
      <c r="AM27" s="20">
        <f t="shared" si="16"/>
        <v>10301760000</v>
      </c>
      <c r="AN27" s="20">
        <f t="shared" si="11"/>
        <v>68678400</v>
      </c>
      <c r="AS27" s="25">
        <f t="shared" si="7"/>
        <v>0</v>
      </c>
      <c r="AT27" s="25"/>
      <c r="AU27" s="25">
        <f t="shared" si="12"/>
        <v>0</v>
      </c>
      <c r="AW27" s="6"/>
      <c r="AX27" s="29">
        <f t="shared" si="13"/>
        <v>8.4956075466716374</v>
      </c>
      <c r="AY27" s="25"/>
      <c r="AZ27" s="6"/>
      <c r="BA27" s="18" t="s">
        <v>61</v>
      </c>
    </row>
    <row r="28" spans="1:53">
      <c r="A28" s="17" t="str">
        <f t="shared" si="2"/>
        <v>\cite{Kouloumpis2022}</v>
      </c>
      <c r="B28" s="13" t="s">
        <v>44</v>
      </c>
      <c r="C28" s="13">
        <v>2022</v>
      </c>
      <c r="D28" s="13">
        <v>2009</v>
      </c>
      <c r="E28" s="13">
        <f t="shared" si="3"/>
        <v>2009</v>
      </c>
      <c r="F28" s="12">
        <f>LOOKUP(E28,Total_wind_installed_capacity!$A$3:$A$34,Total_wind_installed_capacity!$H$3:$H$34)</f>
        <v>151.3704745</v>
      </c>
      <c r="G28" s="18" t="s">
        <v>27</v>
      </c>
      <c r="H28" s="13" t="s">
        <v>22</v>
      </c>
      <c r="I28" s="18" t="s">
        <v>30</v>
      </c>
      <c r="J28" s="19">
        <f t="shared" si="14"/>
        <v>3600</v>
      </c>
      <c r="K28" s="13">
        <v>25</v>
      </c>
      <c r="L28" s="20">
        <v>90000</v>
      </c>
      <c r="M28" s="21" t="s">
        <v>49</v>
      </c>
      <c r="N28" s="13" t="s">
        <v>31</v>
      </c>
      <c r="Q28" s="13" t="s">
        <v>20</v>
      </c>
      <c r="T28" s="23">
        <f t="shared" si="5"/>
        <v>0</v>
      </c>
      <c r="U28" s="23">
        <f t="shared" si="5"/>
        <v>0</v>
      </c>
      <c r="V28" s="25"/>
      <c r="W28" s="25"/>
      <c r="AA28" s="24">
        <f t="shared" si="6"/>
        <v>0</v>
      </c>
      <c r="AC28" s="25">
        <f t="shared" si="0"/>
        <v>0</v>
      </c>
      <c r="AE28" s="32">
        <f>46889.1*1000</f>
        <v>46889100</v>
      </c>
      <c r="AG28" s="25">
        <f t="shared" si="15"/>
        <v>0.52099000000000006</v>
      </c>
      <c r="AI28" s="27">
        <v>0.34200000000000003</v>
      </c>
      <c r="AJ28" s="20">
        <f t="shared" si="1"/>
        <v>269632800</v>
      </c>
      <c r="AK28" s="28"/>
      <c r="AL28" s="13">
        <v>20</v>
      </c>
      <c r="AM28" s="20">
        <f t="shared" si="16"/>
        <v>5392656000</v>
      </c>
      <c r="AN28" s="20">
        <f t="shared" si="11"/>
        <v>59918400</v>
      </c>
      <c r="AS28" s="25">
        <f t="shared" si="7"/>
        <v>0</v>
      </c>
      <c r="AT28" s="25"/>
      <c r="AU28" s="25">
        <f t="shared" si="12"/>
        <v>0</v>
      </c>
      <c r="AW28" s="6"/>
      <c r="AX28" s="29">
        <f t="shared" si="13"/>
        <v>8.6949918555902688</v>
      </c>
      <c r="AY28" s="25"/>
      <c r="AZ28" s="6"/>
      <c r="BA28" s="18" t="s">
        <v>62</v>
      </c>
    </row>
    <row r="29" spans="1:53">
      <c r="A29" s="17" t="str">
        <f t="shared" si="2"/>
        <v>\cite{Kouloumpis2022}</v>
      </c>
      <c r="B29" s="13" t="s">
        <v>44</v>
      </c>
      <c r="C29" s="13">
        <v>2022</v>
      </c>
      <c r="D29" s="13">
        <v>2010</v>
      </c>
      <c r="E29" s="13">
        <f t="shared" si="3"/>
        <v>2010</v>
      </c>
      <c r="F29" s="12">
        <f>LOOKUP(E29,Total_wind_installed_capacity!$A$3:$A$34,Total_wind_installed_capacity!$H$3:$H$34)</f>
        <v>183.5233025</v>
      </c>
      <c r="G29" s="18" t="s">
        <v>27</v>
      </c>
      <c r="H29" s="13" t="s">
        <v>22</v>
      </c>
      <c r="I29" s="18" t="s">
        <v>30</v>
      </c>
      <c r="J29" s="19">
        <f t="shared" si="14"/>
        <v>3000</v>
      </c>
      <c r="K29" s="13">
        <v>60</v>
      </c>
      <c r="L29" s="20">
        <v>180000</v>
      </c>
      <c r="M29" s="21" t="s">
        <v>45</v>
      </c>
      <c r="N29" s="13" t="s">
        <v>31</v>
      </c>
      <c r="Q29" s="13" t="s">
        <v>20</v>
      </c>
      <c r="T29" s="23">
        <f t="shared" si="5"/>
        <v>0</v>
      </c>
      <c r="U29" s="23">
        <f t="shared" si="5"/>
        <v>0</v>
      </c>
      <c r="V29" s="25"/>
      <c r="W29" s="25"/>
      <c r="AA29" s="24">
        <f t="shared" si="6"/>
        <v>0</v>
      </c>
      <c r="AC29" s="25">
        <f t="shared" si="0"/>
        <v>0</v>
      </c>
      <c r="AE29" s="32">
        <f>85195.24*1000</f>
        <v>85195240</v>
      </c>
      <c r="AG29" s="25">
        <f t="shared" si="15"/>
        <v>0.47330688888888889</v>
      </c>
      <c r="AI29" s="27">
        <v>0.34799999999999998</v>
      </c>
      <c r="AJ29" s="20">
        <f t="shared" si="1"/>
        <v>548726399.99999988</v>
      </c>
      <c r="AK29" s="28"/>
      <c r="AL29" s="13">
        <v>20</v>
      </c>
      <c r="AM29" s="20">
        <f t="shared" si="16"/>
        <v>10974527999.999998</v>
      </c>
      <c r="AN29" s="20">
        <f t="shared" si="11"/>
        <v>60969599.999999993</v>
      </c>
      <c r="AS29" s="25">
        <f t="shared" si="7"/>
        <v>0</v>
      </c>
      <c r="AT29" s="25"/>
      <c r="AU29" s="25">
        <f t="shared" si="12"/>
        <v>0</v>
      </c>
      <c r="AW29" s="6"/>
      <c r="AX29" s="29">
        <f t="shared" si="13"/>
        <v>7.7629980988704039</v>
      </c>
      <c r="AY29" s="25"/>
      <c r="AZ29" s="6"/>
      <c r="BA29" s="18" t="s">
        <v>63</v>
      </c>
    </row>
    <row r="30" spans="1:53">
      <c r="A30" s="17" t="str">
        <f t="shared" si="2"/>
        <v>\cite{Kouloumpis2022}</v>
      </c>
      <c r="B30" s="13" t="s">
        <v>44</v>
      </c>
      <c r="C30" s="13">
        <v>2022</v>
      </c>
      <c r="D30" s="13">
        <v>2004</v>
      </c>
      <c r="E30" s="13">
        <f t="shared" si="3"/>
        <v>2004</v>
      </c>
      <c r="F30" s="12">
        <f>LOOKUP(E30,Total_wind_installed_capacity!$A$3:$A$34,Total_wind_installed_capacity!$H$3:$H$34)</f>
        <v>46.3964675</v>
      </c>
      <c r="G30" s="18" t="s">
        <v>27</v>
      </c>
      <c r="H30" s="13" t="s">
        <v>22</v>
      </c>
      <c r="I30" s="18" t="s">
        <v>30</v>
      </c>
      <c r="J30" s="19">
        <f t="shared" si="14"/>
        <v>2000</v>
      </c>
      <c r="K30" s="13">
        <v>30</v>
      </c>
      <c r="L30" s="20">
        <v>60000</v>
      </c>
      <c r="M30" s="21" t="s">
        <v>58</v>
      </c>
      <c r="N30" s="13" t="s">
        <v>31</v>
      </c>
      <c r="Q30" s="13" t="s">
        <v>20</v>
      </c>
      <c r="T30" s="23">
        <f t="shared" si="5"/>
        <v>0</v>
      </c>
      <c r="U30" s="23">
        <f t="shared" si="5"/>
        <v>0</v>
      </c>
      <c r="V30" s="25"/>
      <c r="W30" s="25"/>
      <c r="AA30" s="24">
        <f t="shared" si="6"/>
        <v>0</v>
      </c>
      <c r="AC30" s="25">
        <f t="shared" si="0"/>
        <v>0</v>
      </c>
      <c r="AE30" s="32">
        <f>27209.48*1000</f>
        <v>27209480</v>
      </c>
      <c r="AG30" s="25">
        <f t="shared" si="15"/>
        <v>0.45349133333333336</v>
      </c>
      <c r="AI30" s="27">
        <v>0.30599999999999999</v>
      </c>
      <c r="AJ30" s="20">
        <f t="shared" si="1"/>
        <v>160833600</v>
      </c>
      <c r="AK30" s="28"/>
      <c r="AL30" s="13">
        <v>20</v>
      </c>
      <c r="AM30" s="20">
        <f t="shared" si="16"/>
        <v>3216672000</v>
      </c>
      <c r="AN30" s="20">
        <f t="shared" si="11"/>
        <v>53611200</v>
      </c>
      <c r="AS30" s="25">
        <f t="shared" si="7"/>
        <v>0</v>
      </c>
      <c r="AT30" s="25"/>
      <c r="AU30" s="25">
        <f t="shared" si="12"/>
        <v>0</v>
      </c>
      <c r="AW30" s="6"/>
      <c r="AX30" s="29">
        <f t="shared" si="13"/>
        <v>8.458891674376499</v>
      </c>
      <c r="AY30" s="25"/>
      <c r="AZ30" s="6"/>
      <c r="BA30" s="18" t="s">
        <v>64</v>
      </c>
    </row>
    <row r="31" spans="1:53">
      <c r="A31" s="17" t="str">
        <f t="shared" si="2"/>
        <v>\cite{Kouloumpis2022}</v>
      </c>
      <c r="B31" s="13" t="s">
        <v>44</v>
      </c>
      <c r="C31" s="13">
        <v>2022</v>
      </c>
      <c r="D31" s="13">
        <v>2012</v>
      </c>
      <c r="E31" s="13">
        <f t="shared" si="3"/>
        <v>2012</v>
      </c>
      <c r="F31" s="12">
        <f>LOOKUP(E31,Total_wind_installed_capacity!$A$3:$A$34,Total_wind_installed_capacity!$H$3:$H$34)</f>
        <v>270.84683750000005</v>
      </c>
      <c r="G31" s="18" t="s">
        <v>27</v>
      </c>
      <c r="H31" s="13" t="s">
        <v>22</v>
      </c>
      <c r="I31" s="18" t="s">
        <v>30</v>
      </c>
      <c r="J31" s="19">
        <f t="shared" si="14"/>
        <v>3600</v>
      </c>
      <c r="K31" s="13">
        <v>88</v>
      </c>
      <c r="L31" s="20">
        <v>316800</v>
      </c>
      <c r="M31" s="21" t="s">
        <v>49</v>
      </c>
      <c r="N31" s="13" t="s">
        <v>31</v>
      </c>
      <c r="Q31" s="13" t="s">
        <v>20</v>
      </c>
      <c r="T31" s="23">
        <f t="shared" si="5"/>
        <v>0</v>
      </c>
      <c r="U31" s="23">
        <f t="shared" si="5"/>
        <v>0</v>
      </c>
      <c r="V31" s="25"/>
      <c r="W31" s="25"/>
      <c r="AA31" s="24">
        <f t="shared" si="6"/>
        <v>0</v>
      </c>
      <c r="AC31" s="25">
        <f t="shared" si="0"/>
        <v>0</v>
      </c>
      <c r="AE31" s="32">
        <f>204118.11*1000</f>
        <v>204118110</v>
      </c>
      <c r="AG31" s="25">
        <f t="shared" si="15"/>
        <v>0.64431221590909094</v>
      </c>
      <c r="AI31" s="27">
        <v>0.30299999999999999</v>
      </c>
      <c r="AJ31" s="20">
        <f t="shared" si="1"/>
        <v>840875903.99999988</v>
      </c>
      <c r="AK31" s="28"/>
      <c r="AL31" s="13">
        <v>20</v>
      </c>
      <c r="AM31" s="20">
        <f t="shared" si="16"/>
        <v>16817518079.999998</v>
      </c>
      <c r="AN31" s="20">
        <f t="shared" si="11"/>
        <v>53085599.999999993</v>
      </c>
      <c r="AS31" s="25">
        <f t="shared" si="7"/>
        <v>0</v>
      </c>
      <c r="AT31" s="25"/>
      <c r="AU31" s="25">
        <f t="shared" si="12"/>
        <v>0</v>
      </c>
      <c r="AW31" s="6"/>
      <c r="AX31" s="29">
        <f t="shared" si="13"/>
        <v>12.137231488559816</v>
      </c>
      <c r="AY31" s="25"/>
      <c r="AZ31" s="6"/>
      <c r="BA31" s="18" t="s">
        <v>65</v>
      </c>
    </row>
    <row r="32" spans="1:53">
      <c r="A32" s="17" t="str">
        <f t="shared" si="2"/>
        <v>\cite{Kouloumpis2022}</v>
      </c>
      <c r="B32" s="13" t="s">
        <v>44</v>
      </c>
      <c r="C32" s="13">
        <v>2022</v>
      </c>
      <c r="D32" s="13">
        <v>2013</v>
      </c>
      <c r="E32" s="13">
        <f t="shared" si="3"/>
        <v>2013</v>
      </c>
      <c r="F32" s="12">
        <f>LOOKUP(E32,Total_wind_installed_capacity!$A$3:$A$34,Total_wind_installed_capacity!$H$3:$H$34)</f>
        <v>310.36672750000002</v>
      </c>
      <c r="G32" s="18" t="s">
        <v>27</v>
      </c>
      <c r="H32" s="13" t="s">
        <v>22</v>
      </c>
      <c r="I32" s="18" t="s">
        <v>30</v>
      </c>
      <c r="J32" s="19">
        <f t="shared" si="14"/>
        <v>2300</v>
      </c>
      <c r="K32" s="13">
        <v>27</v>
      </c>
      <c r="L32" s="20">
        <v>62100</v>
      </c>
      <c r="M32" s="21" t="s">
        <v>66</v>
      </c>
      <c r="N32" s="13" t="s">
        <v>31</v>
      </c>
      <c r="Q32" s="13" t="s">
        <v>20</v>
      </c>
      <c r="T32" s="23">
        <f t="shared" si="5"/>
        <v>0</v>
      </c>
      <c r="U32" s="23">
        <f t="shared" si="5"/>
        <v>0</v>
      </c>
      <c r="V32" s="25"/>
      <c r="W32" s="25"/>
      <c r="AA32" s="24">
        <f t="shared" si="6"/>
        <v>0</v>
      </c>
      <c r="AC32" s="25">
        <f t="shared" si="0"/>
        <v>0</v>
      </c>
      <c r="AE32" s="32">
        <f>40761.06*1000</f>
        <v>40761060</v>
      </c>
      <c r="AG32" s="25">
        <f t="shared" si="15"/>
        <v>0.65637777777777773</v>
      </c>
      <c r="AI32" s="27">
        <v>0.314</v>
      </c>
      <c r="AJ32" s="20">
        <f t="shared" si="1"/>
        <v>170814744</v>
      </c>
      <c r="AK32" s="28"/>
      <c r="AL32" s="13">
        <v>20</v>
      </c>
      <c r="AM32" s="20">
        <f t="shared" si="16"/>
        <v>3416294880</v>
      </c>
      <c r="AN32" s="20">
        <f t="shared" si="11"/>
        <v>55012800</v>
      </c>
      <c r="AS32" s="25">
        <f t="shared" si="7"/>
        <v>0</v>
      </c>
      <c r="AT32" s="25"/>
      <c r="AU32" s="25">
        <f t="shared" si="12"/>
        <v>0</v>
      </c>
      <c r="AW32" s="6"/>
      <c r="AX32" s="29">
        <f t="shared" si="13"/>
        <v>11.931364660184135</v>
      </c>
      <c r="AY32" s="25"/>
      <c r="AZ32" s="6"/>
      <c r="BA32" s="18" t="s">
        <v>67</v>
      </c>
    </row>
    <row r="33" spans="1:53">
      <c r="A33" s="17" t="str">
        <f t="shared" si="2"/>
        <v>\cite{Kouloumpis2022}</v>
      </c>
      <c r="B33" s="13" t="s">
        <v>44</v>
      </c>
      <c r="C33" s="13">
        <v>2022</v>
      </c>
      <c r="D33" s="13">
        <v>2010</v>
      </c>
      <c r="E33" s="13">
        <f t="shared" si="3"/>
        <v>2010</v>
      </c>
      <c r="F33" s="12">
        <f>LOOKUP(E33,Total_wind_installed_capacity!$A$3:$A$34,Total_wind_installed_capacity!$H$3:$H$34)</f>
        <v>183.5233025</v>
      </c>
      <c r="G33" s="18" t="s">
        <v>27</v>
      </c>
      <c r="H33" s="13" t="s">
        <v>22</v>
      </c>
      <c r="I33" s="18" t="s">
        <v>30</v>
      </c>
      <c r="J33" s="19">
        <f t="shared" si="14"/>
        <v>3000</v>
      </c>
      <c r="K33" s="13">
        <v>100</v>
      </c>
      <c r="L33" s="20">
        <v>300000</v>
      </c>
      <c r="M33" s="21" t="s">
        <v>45</v>
      </c>
      <c r="N33" s="13" t="s">
        <v>31</v>
      </c>
      <c r="Q33" s="13" t="s">
        <v>20</v>
      </c>
      <c r="T33" s="23">
        <f t="shared" si="5"/>
        <v>0</v>
      </c>
      <c r="U33" s="23">
        <f t="shared" si="5"/>
        <v>0</v>
      </c>
      <c r="V33" s="25"/>
      <c r="W33" s="25"/>
      <c r="AA33" s="24">
        <f t="shared" si="6"/>
        <v>0</v>
      </c>
      <c r="AC33" s="25">
        <f t="shared" si="0"/>
        <v>0</v>
      </c>
      <c r="AE33" s="32">
        <f>161001.31*1000</f>
        <v>161001310</v>
      </c>
      <c r="AG33" s="25">
        <f t="shared" si="15"/>
        <v>0.53667103333333332</v>
      </c>
      <c r="AI33" s="27">
        <v>0.308</v>
      </c>
      <c r="AJ33" s="20">
        <f t="shared" si="1"/>
        <v>809424000</v>
      </c>
      <c r="AK33" s="28"/>
      <c r="AL33" s="13">
        <v>20</v>
      </c>
      <c r="AM33" s="20">
        <f t="shared" si="16"/>
        <v>16188480000</v>
      </c>
      <c r="AN33" s="20">
        <f t="shared" si="11"/>
        <v>53961600</v>
      </c>
      <c r="AS33" s="25">
        <f t="shared" si="7"/>
        <v>0</v>
      </c>
      <c r="AT33" s="25"/>
      <c r="AU33" s="25">
        <f t="shared" si="12"/>
        <v>0</v>
      </c>
      <c r="AW33" s="6"/>
      <c r="AX33" s="29">
        <f t="shared" si="13"/>
        <v>9.9454247711953183</v>
      </c>
      <c r="AY33" s="25"/>
      <c r="AZ33" s="6"/>
      <c r="BA33" s="18" t="s">
        <v>68</v>
      </c>
    </row>
    <row r="34" spans="1:53">
      <c r="A34" s="17" t="str">
        <f t="shared" si="2"/>
        <v>\cite{Kouloumpis2022}</v>
      </c>
      <c r="B34" s="13" t="s">
        <v>44</v>
      </c>
      <c r="C34" s="13">
        <v>2022</v>
      </c>
      <c r="D34" s="13">
        <v>2011</v>
      </c>
      <c r="E34" s="13">
        <f t="shared" si="3"/>
        <v>2011</v>
      </c>
      <c r="F34" s="12">
        <f>LOOKUP(E34,Total_wind_installed_capacity!$A$3:$A$34,Total_wind_installed_capacity!$H$3:$H$34)</f>
        <v>227.632904</v>
      </c>
      <c r="G34" s="18" t="s">
        <v>27</v>
      </c>
      <c r="H34" s="13" t="s">
        <v>22</v>
      </c>
      <c r="I34" s="18" t="s">
        <v>30</v>
      </c>
      <c r="J34" s="19">
        <f t="shared" si="14"/>
        <v>3600</v>
      </c>
      <c r="K34" s="13">
        <v>51</v>
      </c>
      <c r="L34" s="20">
        <v>183600</v>
      </c>
      <c r="M34" s="21" t="s">
        <v>49</v>
      </c>
      <c r="N34" s="13" t="s">
        <v>31</v>
      </c>
      <c r="Q34" s="13" t="s">
        <v>20</v>
      </c>
      <c r="T34" s="23">
        <f t="shared" si="5"/>
        <v>0</v>
      </c>
      <c r="U34" s="23">
        <f t="shared" si="5"/>
        <v>0</v>
      </c>
      <c r="V34" s="25"/>
      <c r="W34" s="25"/>
      <c r="AA34" s="24">
        <f t="shared" si="6"/>
        <v>0</v>
      </c>
      <c r="AC34" s="25">
        <f t="shared" ref="AC34:AC65" si="17">IF(AND(AA34&gt;0,AM34&gt;0),AA34/AM34, IF(AU34&gt;0, IF(Z34&gt;0, AU34*Z34/100,AU34*30/100),0))</f>
        <v>0</v>
      </c>
      <c r="AE34" s="32">
        <f>132242.4*1000</f>
        <v>132242400</v>
      </c>
      <c r="AG34" s="25">
        <f t="shared" si="15"/>
        <v>0.72027450980392149</v>
      </c>
      <c r="AI34" s="27">
        <v>0.40600000000000003</v>
      </c>
      <c r="AJ34" s="20">
        <f t="shared" si="1"/>
        <v>652984416.00000012</v>
      </c>
      <c r="AK34" s="28"/>
      <c r="AL34" s="13">
        <v>20</v>
      </c>
      <c r="AM34" s="20">
        <f t="shared" si="16"/>
        <v>13059688320.000002</v>
      </c>
      <c r="AN34" s="20">
        <f t="shared" si="11"/>
        <v>71131200.000000015</v>
      </c>
      <c r="AS34" s="25">
        <f t="shared" si="7"/>
        <v>0</v>
      </c>
      <c r="AT34" s="25"/>
      <c r="AU34" s="25">
        <f t="shared" si="12"/>
        <v>0</v>
      </c>
      <c r="AW34" s="6"/>
      <c r="AX34" s="29">
        <f t="shared" si="13"/>
        <v>10.125999699202621</v>
      </c>
      <c r="AY34" s="25"/>
      <c r="AZ34" s="6"/>
      <c r="BA34" s="18" t="s">
        <v>69</v>
      </c>
    </row>
    <row r="35" spans="1:53">
      <c r="A35" s="17" t="str">
        <f t="shared" si="2"/>
        <v>\cite{Kouloumpis2022}</v>
      </c>
      <c r="B35" s="13" t="s">
        <v>44</v>
      </c>
      <c r="C35" s="13">
        <v>2022</v>
      </c>
      <c r="D35" s="13">
        <v>2012</v>
      </c>
      <c r="E35" s="13">
        <f t="shared" si="3"/>
        <v>2012</v>
      </c>
      <c r="F35" s="12">
        <f>LOOKUP(E35,Total_wind_installed_capacity!$A$3:$A$34,Total_wind_installed_capacity!$H$3:$H$34)</f>
        <v>270.84683750000005</v>
      </c>
      <c r="G35" s="18" t="s">
        <v>27</v>
      </c>
      <c r="H35" s="13" t="s">
        <v>22</v>
      </c>
      <c r="I35" s="18" t="s">
        <v>30</v>
      </c>
      <c r="J35" s="19">
        <f t="shared" si="14"/>
        <v>3600</v>
      </c>
      <c r="K35" s="13">
        <v>51</v>
      </c>
      <c r="L35" s="20">
        <v>183600</v>
      </c>
      <c r="M35" s="21" t="s">
        <v>54</v>
      </c>
      <c r="N35" s="13" t="s">
        <v>31</v>
      </c>
      <c r="Q35" s="13" t="s">
        <v>20</v>
      </c>
      <c r="T35" s="23">
        <f t="shared" si="5"/>
        <v>0</v>
      </c>
      <c r="U35" s="23">
        <f t="shared" si="5"/>
        <v>0</v>
      </c>
      <c r="V35" s="25"/>
      <c r="W35" s="25"/>
      <c r="AA35" s="24">
        <f t="shared" si="6"/>
        <v>0</v>
      </c>
      <c r="AC35" s="25">
        <f t="shared" si="17"/>
        <v>0</v>
      </c>
      <c r="AE35" s="32">
        <f>151011.42*1000</f>
        <v>151011420</v>
      </c>
      <c r="AG35" s="25">
        <f t="shared" si="15"/>
        <v>0.8225022875816993</v>
      </c>
      <c r="AI35" s="27">
        <v>0.44600000000000001</v>
      </c>
      <c r="AJ35" s="20">
        <f t="shared" si="1"/>
        <v>717317856</v>
      </c>
      <c r="AK35" s="28"/>
      <c r="AL35" s="13">
        <v>20</v>
      </c>
      <c r="AM35" s="20">
        <f t="shared" si="16"/>
        <v>14346357120</v>
      </c>
      <c r="AN35" s="20">
        <f t="shared" si="11"/>
        <v>78139200</v>
      </c>
      <c r="AS35" s="25">
        <f t="shared" si="7"/>
        <v>0</v>
      </c>
      <c r="AT35" s="25"/>
      <c r="AU35" s="25">
        <f t="shared" si="12"/>
        <v>0</v>
      </c>
      <c r="AW35" s="6"/>
      <c r="AX35" s="29">
        <f t="shared" si="13"/>
        <v>10.526116054191741</v>
      </c>
      <c r="AY35" s="25"/>
      <c r="AZ35" s="6"/>
      <c r="BA35" s="18" t="s">
        <v>70</v>
      </c>
    </row>
    <row r="36" spans="1:53">
      <c r="A36" s="17" t="str">
        <f t="shared" si="2"/>
        <v>\cite{Kouloumpis2022}</v>
      </c>
      <c r="B36" s="13" t="s">
        <v>44</v>
      </c>
      <c r="C36" s="13">
        <v>2022</v>
      </c>
      <c r="D36" s="13">
        <v>2014</v>
      </c>
      <c r="E36" s="13">
        <f t="shared" si="3"/>
        <v>2014</v>
      </c>
      <c r="F36" s="12">
        <f>LOOKUP(E36,Total_wind_installed_capacity!$A$3:$A$34,Total_wind_installed_capacity!$H$3:$H$34)</f>
        <v>360.68525</v>
      </c>
      <c r="G36" s="18" t="s">
        <v>27</v>
      </c>
      <c r="H36" s="13" t="s">
        <v>22</v>
      </c>
      <c r="I36" s="18" t="s">
        <v>30</v>
      </c>
      <c r="J36" s="19">
        <f>L36/K36</f>
        <v>3600</v>
      </c>
      <c r="K36" s="13">
        <v>108</v>
      </c>
      <c r="L36" s="20">
        <v>388800</v>
      </c>
      <c r="M36" s="21" t="s">
        <v>54</v>
      </c>
      <c r="N36" s="13" t="s">
        <v>31</v>
      </c>
      <c r="Q36" s="13" t="s">
        <v>20</v>
      </c>
      <c r="T36" s="23">
        <f t="shared" si="5"/>
        <v>0</v>
      </c>
      <c r="U36" s="23">
        <f t="shared" si="5"/>
        <v>0</v>
      </c>
      <c r="V36" s="25"/>
      <c r="W36" s="25"/>
      <c r="AA36" s="24">
        <f t="shared" si="6"/>
        <v>0</v>
      </c>
      <c r="AC36" s="25">
        <f t="shared" si="17"/>
        <v>0</v>
      </c>
      <c r="AE36" s="32">
        <f>286820.97*1000</f>
        <v>286820970</v>
      </c>
      <c r="AG36" s="25">
        <f>AE36/$L36/1000</f>
        <v>0.73770825617283942</v>
      </c>
      <c r="AI36" s="27">
        <v>0.41399999999999998</v>
      </c>
      <c r="AJ36" s="20">
        <f t="shared" si="1"/>
        <v>1410037632</v>
      </c>
      <c r="AK36" s="28"/>
      <c r="AL36" s="13">
        <v>20</v>
      </c>
      <c r="AM36" s="20">
        <f t="shared" si="16"/>
        <v>28200752640</v>
      </c>
      <c r="AN36" s="20">
        <f t="shared" si="11"/>
        <v>72532800</v>
      </c>
      <c r="AS36" s="25">
        <f t="shared" si="7"/>
        <v>0</v>
      </c>
      <c r="AT36" s="25"/>
      <c r="AU36" s="25">
        <f t="shared" si="12"/>
        <v>0</v>
      </c>
      <c r="AW36" s="6"/>
      <c r="AX36" s="29">
        <f t="shared" si="13"/>
        <v>10.170684933889765</v>
      </c>
      <c r="AY36" s="25"/>
      <c r="AZ36" s="6"/>
      <c r="BA36" s="18" t="s">
        <v>71</v>
      </c>
    </row>
    <row r="37" spans="1:53">
      <c r="A37" s="17" t="str">
        <f t="shared" si="2"/>
        <v>\cite{Savino2017}</v>
      </c>
      <c r="B37" s="13" t="s">
        <v>72</v>
      </c>
      <c r="C37" s="13">
        <v>2017</v>
      </c>
      <c r="E37" s="13">
        <f t="shared" si="3"/>
        <v>2017</v>
      </c>
      <c r="F37" s="12">
        <f>LOOKUP(E37,Total_wind_installed_capacity!$A$3:$A$34,Total_wind_installed_capacity!$H$3:$H$34)</f>
        <v>530.78719999999998</v>
      </c>
      <c r="G37" s="18" t="s">
        <v>74</v>
      </c>
      <c r="H37" s="13" t="s">
        <v>33</v>
      </c>
      <c r="I37" s="18" t="s">
        <v>73</v>
      </c>
      <c r="J37" s="19">
        <v>660</v>
      </c>
      <c r="K37" s="13">
        <v>1</v>
      </c>
      <c r="L37" s="20">
        <f t="shared" ref="L37:L69" si="18">K37*J37</f>
        <v>660</v>
      </c>
      <c r="M37" s="21" t="s">
        <v>75</v>
      </c>
      <c r="N37" s="13" t="s">
        <v>24</v>
      </c>
      <c r="Q37" s="13" t="s">
        <v>35</v>
      </c>
      <c r="T37" s="23">
        <f t="shared" si="5"/>
        <v>0</v>
      </c>
      <c r="U37" s="23">
        <f t="shared" si="5"/>
        <v>0</v>
      </c>
      <c r="V37" s="25"/>
      <c r="W37" s="25"/>
      <c r="AA37" s="24">
        <f t="shared" si="6"/>
        <v>0</v>
      </c>
      <c r="AC37" s="25">
        <f t="shared" si="17"/>
        <v>0</v>
      </c>
      <c r="AE37" s="32">
        <f>644140+26944.6+26100</f>
        <v>697184.6</v>
      </c>
      <c r="AG37" s="25">
        <f t="shared" ref="AG37:AG68" si="19">AE37/$L37/1000</f>
        <v>1.0563403030303029</v>
      </c>
      <c r="AI37" s="27">
        <f t="shared" ref="AI37:AI42" si="20">AJ37/L37/8760</f>
        <v>0.22018126470181265</v>
      </c>
      <c r="AJ37" s="20">
        <f>1273*1000</f>
        <v>1273000</v>
      </c>
      <c r="AK37" s="33"/>
      <c r="AL37" s="13">
        <v>20</v>
      </c>
      <c r="AM37" s="20">
        <f t="shared" si="16"/>
        <v>25460000</v>
      </c>
      <c r="AN37" s="20">
        <f t="shared" si="11"/>
        <v>38575757.575757578</v>
      </c>
      <c r="AS37" s="25">
        <f t="shared" si="7"/>
        <v>0</v>
      </c>
      <c r="AT37" s="25"/>
      <c r="AU37" s="25">
        <f t="shared" si="12"/>
        <v>0</v>
      </c>
      <c r="AW37" s="6"/>
      <c r="AX37" s="29">
        <f t="shared" si="13"/>
        <v>27.383527101335428</v>
      </c>
      <c r="AY37" s="25"/>
      <c r="AZ37" s="6"/>
    </row>
    <row r="38" spans="1:53">
      <c r="A38" s="17" t="str">
        <f t="shared" si="2"/>
        <v>\cite{Savino2017}</v>
      </c>
      <c r="B38" s="13" t="s">
        <v>72</v>
      </c>
      <c r="C38" s="13">
        <v>2017</v>
      </c>
      <c r="E38" s="13">
        <f t="shared" si="3"/>
        <v>2017</v>
      </c>
      <c r="F38" s="12">
        <f>LOOKUP(E38,Total_wind_installed_capacity!$A$3:$A$34,Total_wind_installed_capacity!$H$3:$H$34)</f>
        <v>530.78719999999998</v>
      </c>
      <c r="G38" s="18" t="s">
        <v>74</v>
      </c>
      <c r="H38" s="13" t="s">
        <v>33</v>
      </c>
      <c r="I38" s="18" t="s">
        <v>73</v>
      </c>
      <c r="J38" s="19">
        <v>200</v>
      </c>
      <c r="K38" s="13">
        <v>3</v>
      </c>
      <c r="L38" s="20">
        <f t="shared" si="18"/>
        <v>600</v>
      </c>
      <c r="M38" s="21" t="s">
        <v>76</v>
      </c>
      <c r="N38" s="13" t="s">
        <v>24</v>
      </c>
      <c r="Q38" s="13" t="s">
        <v>35</v>
      </c>
      <c r="T38" s="23">
        <f t="shared" si="5"/>
        <v>0</v>
      </c>
      <c r="U38" s="23">
        <f t="shared" si="5"/>
        <v>0</v>
      </c>
      <c r="V38" s="25"/>
      <c r="W38" s="25"/>
      <c r="AA38" s="24">
        <f t="shared" si="6"/>
        <v>0</v>
      </c>
      <c r="AC38" s="25">
        <f t="shared" si="17"/>
        <v>0</v>
      </c>
      <c r="AE38" s="32">
        <f>207795 + 1116040/3 + 155237</f>
        <v>735045.33333333326</v>
      </c>
      <c r="AG38" s="25">
        <f t="shared" si="19"/>
        <v>1.2250755555555555</v>
      </c>
      <c r="AI38" s="27">
        <f t="shared" si="20"/>
        <v>0.24219939117199391</v>
      </c>
      <c r="AJ38" s="20">
        <f t="shared" ref="AJ38:AJ41" si="21">1273*1000</f>
        <v>1273000</v>
      </c>
      <c r="AK38" s="28"/>
      <c r="AL38" s="13">
        <v>20</v>
      </c>
      <c r="AM38" s="20">
        <f t="shared" si="16"/>
        <v>25460000</v>
      </c>
      <c r="AN38" s="20">
        <f t="shared" si="11"/>
        <v>42433333.333333336</v>
      </c>
      <c r="AS38" s="25">
        <f t="shared" si="7"/>
        <v>0</v>
      </c>
      <c r="AT38" s="25"/>
      <c r="AU38" s="25">
        <f t="shared" si="12"/>
        <v>0</v>
      </c>
      <c r="AW38" s="6"/>
      <c r="AX38" s="29">
        <f t="shared" si="13"/>
        <v>28.870594396438854</v>
      </c>
      <c r="AY38" s="25"/>
      <c r="AZ38" s="6"/>
    </row>
    <row r="39" spans="1:53">
      <c r="A39" s="17" t="str">
        <f t="shared" si="2"/>
        <v>\cite{Savino2017}</v>
      </c>
      <c r="B39" s="13" t="s">
        <v>72</v>
      </c>
      <c r="C39" s="13">
        <v>2017</v>
      </c>
      <c r="E39" s="13">
        <f t="shared" si="3"/>
        <v>2017</v>
      </c>
      <c r="F39" s="12">
        <f>LOOKUP(E39,Total_wind_installed_capacity!$A$3:$A$34,Total_wind_installed_capacity!$H$3:$H$34)</f>
        <v>530.78719999999998</v>
      </c>
      <c r="G39" s="18" t="s">
        <v>74</v>
      </c>
      <c r="H39" s="13" t="s">
        <v>33</v>
      </c>
      <c r="I39" s="18" t="s">
        <v>73</v>
      </c>
      <c r="J39" s="19">
        <v>100</v>
      </c>
      <c r="K39" s="13">
        <v>6</v>
      </c>
      <c r="L39" s="20">
        <f t="shared" si="18"/>
        <v>600</v>
      </c>
      <c r="M39" s="21" t="s">
        <v>77</v>
      </c>
      <c r="N39" s="13" t="s">
        <v>24</v>
      </c>
      <c r="Q39" s="13" t="s">
        <v>35</v>
      </c>
      <c r="T39" s="23">
        <f t="shared" si="5"/>
        <v>0</v>
      </c>
      <c r="U39" s="23">
        <f t="shared" si="5"/>
        <v>0</v>
      </c>
      <c r="V39" s="25"/>
      <c r="W39" s="25"/>
      <c r="AA39" s="24">
        <f t="shared" si="6"/>
        <v>0</v>
      </c>
      <c r="AC39" s="25">
        <f t="shared" si="17"/>
        <v>0</v>
      </c>
      <c r="AE39" s="32">
        <f>168961 + 1717480/6 + 112295.5</f>
        <v>567503.16666666674</v>
      </c>
      <c r="AG39" s="25">
        <f t="shared" si="19"/>
        <v>0.94583861111111123</v>
      </c>
      <c r="AI39" s="27">
        <f t="shared" si="20"/>
        <v>0.24219939117199391</v>
      </c>
      <c r="AJ39" s="20">
        <f t="shared" si="21"/>
        <v>1273000</v>
      </c>
      <c r="AK39" s="28"/>
      <c r="AL39" s="13">
        <v>20</v>
      </c>
      <c r="AM39" s="20">
        <f t="shared" si="16"/>
        <v>25460000</v>
      </c>
      <c r="AN39" s="20">
        <f t="shared" si="11"/>
        <v>42433333.333333336</v>
      </c>
      <c r="AS39" s="25">
        <f t="shared" si="7"/>
        <v>0</v>
      </c>
      <c r="AT39" s="25"/>
      <c r="AU39" s="25">
        <f t="shared" si="12"/>
        <v>0</v>
      </c>
      <c r="AW39" s="6"/>
      <c r="AX39" s="29">
        <f t="shared" si="13"/>
        <v>22.2899908352972</v>
      </c>
      <c r="AY39" s="25"/>
      <c r="AZ39" s="6"/>
    </row>
    <row r="40" spans="1:53">
      <c r="A40" s="17" t="str">
        <f t="shared" si="2"/>
        <v>\cite{Savino2017}</v>
      </c>
      <c r="B40" s="13" t="s">
        <v>72</v>
      </c>
      <c r="C40" s="13">
        <v>2017</v>
      </c>
      <c r="E40" s="13">
        <f t="shared" si="3"/>
        <v>2017</v>
      </c>
      <c r="F40" s="12">
        <f>LOOKUP(E40,Total_wind_installed_capacity!$A$3:$A$34,Total_wind_installed_capacity!$H$3:$H$34)</f>
        <v>530.78719999999998</v>
      </c>
      <c r="G40" s="18" t="s">
        <v>74</v>
      </c>
      <c r="H40" s="13" t="s">
        <v>33</v>
      </c>
      <c r="I40" s="18" t="s">
        <v>73</v>
      </c>
      <c r="J40" s="19">
        <v>600</v>
      </c>
      <c r="K40" s="13">
        <v>1</v>
      </c>
      <c r="L40" s="20">
        <f t="shared" si="18"/>
        <v>600</v>
      </c>
      <c r="M40" s="21" t="s">
        <v>78</v>
      </c>
      <c r="N40" s="13" t="s">
        <v>24</v>
      </c>
      <c r="Q40" s="13" t="s">
        <v>35</v>
      </c>
      <c r="T40" s="23">
        <f t="shared" si="5"/>
        <v>0</v>
      </c>
      <c r="U40" s="23">
        <f t="shared" si="5"/>
        <v>0</v>
      </c>
      <c r="V40" s="25"/>
      <c r="W40" s="25"/>
      <c r="AA40" s="24">
        <f t="shared" si="6"/>
        <v>0</v>
      </c>
      <c r="AC40" s="25">
        <f t="shared" si="17"/>
        <v>0</v>
      </c>
      <c r="AE40" s="32">
        <f>700833+28498.2+198020</f>
        <v>927351.2</v>
      </c>
      <c r="AG40" s="25">
        <f t="shared" si="19"/>
        <v>1.5455853333333331</v>
      </c>
      <c r="AI40" s="27">
        <f t="shared" si="20"/>
        <v>0.24219939117199391</v>
      </c>
      <c r="AJ40" s="20">
        <f t="shared" si="21"/>
        <v>1273000</v>
      </c>
      <c r="AK40" s="28"/>
      <c r="AL40" s="13">
        <v>20</v>
      </c>
      <c r="AM40" s="20">
        <f t="shared" si="16"/>
        <v>25460000</v>
      </c>
      <c r="AN40" s="20">
        <f t="shared" si="11"/>
        <v>42433333.333333336</v>
      </c>
      <c r="AS40" s="25">
        <f t="shared" si="7"/>
        <v>0</v>
      </c>
      <c r="AT40" s="25"/>
      <c r="AU40" s="25">
        <f t="shared" si="12"/>
        <v>0</v>
      </c>
      <c r="AW40" s="6"/>
      <c r="AX40" s="29">
        <f t="shared" si="13"/>
        <v>36.423849175176748</v>
      </c>
      <c r="AY40" s="25"/>
      <c r="AZ40" s="6"/>
    </row>
    <row r="41" spans="1:53">
      <c r="A41" s="17" t="str">
        <f t="shared" si="2"/>
        <v>\cite{Savino2017}</v>
      </c>
      <c r="B41" s="13" t="s">
        <v>72</v>
      </c>
      <c r="C41" s="13">
        <v>2017</v>
      </c>
      <c r="E41" s="13">
        <f t="shared" si="3"/>
        <v>2017</v>
      </c>
      <c r="F41" s="12">
        <f>LOOKUP(E41,Total_wind_installed_capacity!$A$3:$A$34,Total_wind_installed_capacity!$H$3:$H$34)</f>
        <v>530.78719999999998</v>
      </c>
      <c r="G41" s="18" t="s">
        <v>74</v>
      </c>
      <c r="H41" s="13" t="s">
        <v>33</v>
      </c>
      <c r="I41" s="18" t="s">
        <v>73</v>
      </c>
      <c r="J41" s="19">
        <v>480</v>
      </c>
      <c r="K41" s="13">
        <v>1</v>
      </c>
      <c r="L41" s="20">
        <f t="shared" si="18"/>
        <v>480</v>
      </c>
      <c r="M41" s="21" t="s">
        <v>79</v>
      </c>
      <c r="N41" s="13" t="s">
        <v>24</v>
      </c>
      <c r="Q41" s="13" t="s">
        <v>35</v>
      </c>
      <c r="T41" s="23">
        <f t="shared" si="5"/>
        <v>0</v>
      </c>
      <c r="U41" s="23">
        <f t="shared" si="5"/>
        <v>0</v>
      </c>
      <c r="V41" s="25"/>
      <c r="W41" s="25"/>
      <c r="AA41" s="24">
        <f t="shared" si="6"/>
        <v>0</v>
      </c>
      <c r="AC41" s="25">
        <f t="shared" si="17"/>
        <v>0</v>
      </c>
      <c r="AE41" s="32">
        <f>796890+31242.4+80801</f>
        <v>908933.4</v>
      </c>
      <c r="AG41" s="25">
        <f t="shared" si="19"/>
        <v>1.8936112500000002</v>
      </c>
      <c r="AI41" s="27">
        <f t="shared" si="20"/>
        <v>0.3027492389649924</v>
      </c>
      <c r="AJ41" s="20">
        <f t="shared" si="21"/>
        <v>1273000</v>
      </c>
      <c r="AK41" s="28"/>
      <c r="AL41" s="13">
        <v>20</v>
      </c>
      <c r="AM41" s="20">
        <f>AJ41*AL41</f>
        <v>25460000</v>
      </c>
      <c r="AN41" s="20">
        <f t="shared" si="11"/>
        <v>53041666.666666664</v>
      </c>
      <c r="AS41" s="25">
        <f t="shared" si="7"/>
        <v>0</v>
      </c>
      <c r="AT41" s="25"/>
      <c r="AU41" s="25">
        <f t="shared" si="12"/>
        <v>0</v>
      </c>
      <c r="AW41" s="6"/>
      <c r="AX41" s="29">
        <f t="shared" si="13"/>
        <v>35.700447761194027</v>
      </c>
      <c r="AY41" s="25"/>
      <c r="AZ41" s="6"/>
    </row>
    <row r="42" spans="1:53">
      <c r="A42" s="17" t="str">
        <f t="shared" si="2"/>
        <v>\cite{Atilgan2016}</v>
      </c>
      <c r="B42" s="13" t="s">
        <v>80</v>
      </c>
      <c r="C42" s="13">
        <v>2016</v>
      </c>
      <c r="E42" s="13">
        <f t="shared" si="3"/>
        <v>2016</v>
      </c>
      <c r="F42" s="12">
        <f>LOOKUP(E42,Total_wind_installed_capacity!$A$3:$A$34,Total_wind_installed_capacity!$H$3:$H$34)</f>
        <v>480.73440000000005</v>
      </c>
      <c r="G42" s="18" t="s">
        <v>27</v>
      </c>
      <c r="H42" s="13" t="s">
        <v>33</v>
      </c>
      <c r="I42" s="18" t="s">
        <v>81</v>
      </c>
      <c r="J42" s="19">
        <v>1940</v>
      </c>
      <c r="K42" s="13">
        <v>682</v>
      </c>
      <c r="L42" s="20">
        <f t="shared" si="18"/>
        <v>1323080</v>
      </c>
      <c r="M42" s="21" t="s">
        <v>82</v>
      </c>
      <c r="N42" s="13" t="s">
        <v>24</v>
      </c>
      <c r="Q42" s="13" t="s">
        <v>20</v>
      </c>
      <c r="T42" s="23">
        <f t="shared" si="5"/>
        <v>0</v>
      </c>
      <c r="U42" s="23">
        <f t="shared" si="5"/>
        <v>0</v>
      </c>
      <c r="V42" s="25"/>
      <c r="W42" s="25"/>
      <c r="AA42" s="24">
        <f t="shared" si="6"/>
        <v>0</v>
      </c>
      <c r="AC42" s="25">
        <f t="shared" si="17"/>
        <v>0</v>
      </c>
      <c r="AE42" s="32">
        <f>AM42*AX42/1000</f>
        <v>816480000</v>
      </c>
      <c r="AG42" s="25">
        <f t="shared" si="19"/>
        <v>0.61710554161501951</v>
      </c>
      <c r="AI42" s="27">
        <f t="shared" si="20"/>
        <v>0.25159227887109409</v>
      </c>
      <c r="AJ42" s="20">
        <f>2916*1000000</f>
        <v>2916000000</v>
      </c>
      <c r="AK42" s="28"/>
      <c r="AL42" s="13">
        <v>40</v>
      </c>
      <c r="AM42" s="20">
        <f t="shared" si="16"/>
        <v>116640000000</v>
      </c>
      <c r="AN42" s="20">
        <f t="shared" si="11"/>
        <v>88157934.516431361</v>
      </c>
      <c r="AS42" s="25">
        <f t="shared" si="7"/>
        <v>0</v>
      </c>
      <c r="AT42" s="25"/>
      <c r="AU42" s="25">
        <f t="shared" si="12"/>
        <v>0</v>
      </c>
      <c r="AW42" s="6"/>
      <c r="AX42" s="29">
        <v>7</v>
      </c>
      <c r="AY42" s="25"/>
      <c r="AZ42" s="6"/>
    </row>
    <row r="43" spans="1:53">
      <c r="A43" s="17" t="str">
        <f t="shared" si="2"/>
        <v>\cite{Ding2019}</v>
      </c>
      <c r="B43" s="13" t="s">
        <v>83</v>
      </c>
      <c r="C43" s="13">
        <v>2019</v>
      </c>
      <c r="E43" s="13">
        <f t="shared" si="3"/>
        <v>2019</v>
      </c>
      <c r="F43" s="12">
        <f>LOOKUP(E43,Total_wind_installed_capacity!$A$3:$A$34,Total_wind_installed_capacity!$H$3:$H$34)</f>
        <v>643.43574999999998</v>
      </c>
      <c r="G43" s="18" t="s">
        <v>27</v>
      </c>
      <c r="H43" s="13" t="s">
        <v>84</v>
      </c>
      <c r="I43" s="18" t="s">
        <v>19</v>
      </c>
      <c r="J43" s="19"/>
      <c r="L43" s="20"/>
      <c r="T43" s="23">
        <f t="shared" si="5"/>
        <v>0</v>
      </c>
      <c r="U43" s="23">
        <f t="shared" si="5"/>
        <v>0</v>
      </c>
      <c r="V43" s="25"/>
      <c r="W43" s="25"/>
      <c r="AA43" s="24">
        <f t="shared" si="6"/>
        <v>0</v>
      </c>
      <c r="AC43" s="25">
        <f t="shared" si="17"/>
        <v>0</v>
      </c>
      <c r="AE43" s="32">
        <f>AM43*AX43/1000</f>
        <v>69227460</v>
      </c>
      <c r="AG43" s="25" t="e">
        <f t="shared" si="19"/>
        <v>#DIV/0!</v>
      </c>
      <c r="AI43" s="27"/>
      <c r="AJ43" s="20">
        <f>AM43/AL43</f>
        <v>407700000</v>
      </c>
      <c r="AK43" s="28"/>
      <c r="AL43" s="13">
        <v>20</v>
      </c>
      <c r="AM43" s="20">
        <f>8154*1000000</f>
        <v>8154000000</v>
      </c>
      <c r="AS43" s="25">
        <f t="shared" si="7"/>
        <v>0</v>
      </c>
      <c r="AT43" s="25"/>
      <c r="AU43" s="25">
        <f t="shared" si="12"/>
        <v>0</v>
      </c>
      <c r="AW43" s="6"/>
      <c r="AX43" s="29">
        <v>8.49</v>
      </c>
      <c r="AY43" s="25"/>
      <c r="AZ43" s="6"/>
    </row>
    <row r="44" spans="1:53">
      <c r="A44" s="17" t="str">
        <f t="shared" si="2"/>
        <v>\cite{Mendecka2018}</v>
      </c>
      <c r="B44" s="13" t="s">
        <v>85</v>
      </c>
      <c r="C44" s="13">
        <v>2018</v>
      </c>
      <c r="E44" s="13">
        <f t="shared" si="3"/>
        <v>2018</v>
      </c>
      <c r="F44" s="12">
        <f>LOOKUP(E44,Total_wind_installed_capacity!$A$3:$A$34,Total_wind_installed_capacity!$H$3:$H$34)</f>
        <v>580.40440000000001</v>
      </c>
      <c r="G44" s="18" t="s">
        <v>27</v>
      </c>
      <c r="H44" s="13" t="s">
        <v>86</v>
      </c>
      <c r="J44" s="19">
        <v>1</v>
      </c>
      <c r="K44" s="13">
        <v>1</v>
      </c>
      <c r="L44" s="20">
        <f t="shared" si="18"/>
        <v>1</v>
      </c>
      <c r="M44" s="21" t="s">
        <v>87</v>
      </c>
      <c r="N44" s="13" t="s">
        <v>24</v>
      </c>
      <c r="Q44" s="13" t="s">
        <v>35</v>
      </c>
      <c r="R44" s="22">
        <v>33844</v>
      </c>
      <c r="T44" s="23">
        <f t="shared" si="5"/>
        <v>9401.1111111111113</v>
      </c>
      <c r="U44" s="23">
        <f t="shared" si="5"/>
        <v>0</v>
      </c>
      <c r="V44" s="6">
        <f>R44/$L44/1000</f>
        <v>33.844000000000001</v>
      </c>
      <c r="W44" s="25"/>
      <c r="X44" s="6">
        <f t="shared" ref="X44:X66" si="22">V44/3.6</f>
        <v>9.4011111111111116</v>
      </c>
      <c r="Y44" s="6"/>
      <c r="AA44" s="24">
        <f t="shared" si="6"/>
        <v>2820.3333333333335</v>
      </c>
      <c r="AC44" s="25">
        <f t="shared" si="17"/>
        <v>0.13069199876428791</v>
      </c>
      <c r="AE44" s="32"/>
      <c r="AG44" s="25">
        <f t="shared" si="19"/>
        <v>0</v>
      </c>
      <c r="AI44" s="27">
        <f t="shared" ref="AI44:AI69" si="23">AJ44/L44/8760</f>
        <v>0.12317351598173516</v>
      </c>
      <c r="AJ44" s="20">
        <v>1079</v>
      </c>
      <c r="AK44" s="28"/>
      <c r="AL44" s="13">
        <v>20</v>
      </c>
      <c r="AM44" s="20">
        <f>AJ44*AL44</f>
        <v>21580</v>
      </c>
      <c r="AN44" s="20">
        <f t="shared" ref="AN44:AN69" si="24">AM44/L44*1000</f>
        <v>21580000</v>
      </c>
      <c r="AS44" s="25">
        <f t="shared" si="7"/>
        <v>1.5683039851714551</v>
      </c>
      <c r="AT44" s="25"/>
      <c r="AU44" s="25">
        <f t="shared" ref="AU44:AU107" si="25">T44/AM44</f>
        <v>0.43563999588095975</v>
      </c>
      <c r="AW44" s="6"/>
      <c r="AX44" s="29">
        <f t="shared" ref="AX44:AX69" si="26">AE44*1000/AM44</f>
        <v>0</v>
      </c>
      <c r="AY44" s="25"/>
      <c r="AZ44" s="6"/>
    </row>
    <row r="45" spans="1:53">
      <c r="A45" s="17" t="str">
        <f t="shared" si="2"/>
        <v>\cite{Mendecka2018}</v>
      </c>
      <c r="B45" s="13" t="s">
        <v>85</v>
      </c>
      <c r="C45" s="13">
        <v>2018</v>
      </c>
      <c r="E45" s="13">
        <f t="shared" si="3"/>
        <v>2018</v>
      </c>
      <c r="F45" s="12">
        <f>LOOKUP(E45,Total_wind_installed_capacity!$A$3:$A$34,Total_wind_installed_capacity!$H$3:$H$34)</f>
        <v>580.40440000000001</v>
      </c>
      <c r="G45" s="18" t="s">
        <v>27</v>
      </c>
      <c r="H45" s="13" t="s">
        <v>86</v>
      </c>
      <c r="J45" s="19">
        <v>3</v>
      </c>
      <c r="K45" s="13">
        <v>1</v>
      </c>
      <c r="L45" s="20">
        <f t="shared" si="18"/>
        <v>3</v>
      </c>
      <c r="M45" s="21" t="s">
        <v>88</v>
      </c>
      <c r="N45" s="13" t="s">
        <v>24</v>
      </c>
      <c r="Q45" s="13" t="s">
        <v>35</v>
      </c>
      <c r="R45" s="22">
        <v>54879</v>
      </c>
      <c r="T45" s="23">
        <f t="shared" si="5"/>
        <v>15244.166666666666</v>
      </c>
      <c r="U45" s="23">
        <f t="shared" si="5"/>
        <v>0</v>
      </c>
      <c r="V45" s="6">
        <f t="shared" ref="V45:V65" si="27">R45/$L45/1000</f>
        <v>18.292999999999999</v>
      </c>
      <c r="W45" s="25"/>
      <c r="X45" s="6">
        <f t="shared" si="22"/>
        <v>5.0813888888888883</v>
      </c>
      <c r="Y45" s="6"/>
      <c r="AA45" s="24">
        <f t="shared" si="6"/>
        <v>4573.25</v>
      </c>
      <c r="AC45" s="25">
        <f t="shared" si="17"/>
        <v>7.0206478354313789E-2</v>
      </c>
      <c r="AE45" s="32"/>
      <c r="AG45" s="25">
        <f t="shared" si="19"/>
        <v>0</v>
      </c>
      <c r="AI45" s="27">
        <f t="shared" si="23"/>
        <v>0.12393455098934551</v>
      </c>
      <c r="AJ45" s="20">
        <v>3257</v>
      </c>
      <c r="AK45" s="28"/>
      <c r="AL45" s="13">
        <v>20</v>
      </c>
      <c r="AM45" s="20">
        <f t="shared" ref="AM45:AM63" si="28">AJ45*AL45</f>
        <v>65140</v>
      </c>
      <c r="AN45" s="20">
        <f t="shared" si="24"/>
        <v>21713333.333333332</v>
      </c>
      <c r="AS45" s="25">
        <f t="shared" si="7"/>
        <v>0.84247774025176547</v>
      </c>
      <c r="AT45" s="25"/>
      <c r="AU45" s="25">
        <f t="shared" si="25"/>
        <v>0.23402159451437929</v>
      </c>
      <c r="AW45" s="6"/>
      <c r="AX45" s="29">
        <f t="shared" si="26"/>
        <v>0</v>
      </c>
      <c r="AY45" s="25"/>
      <c r="AZ45" s="6"/>
    </row>
    <row r="46" spans="1:53">
      <c r="A46" s="17" t="str">
        <f t="shared" si="2"/>
        <v>\cite{Mendecka2018}</v>
      </c>
      <c r="B46" s="13" t="s">
        <v>85</v>
      </c>
      <c r="C46" s="13">
        <v>2018</v>
      </c>
      <c r="E46" s="13">
        <f t="shared" si="3"/>
        <v>2018</v>
      </c>
      <c r="F46" s="12">
        <f>LOOKUP(E46,Total_wind_installed_capacity!$A$3:$A$34,Total_wind_installed_capacity!$H$3:$H$34)</f>
        <v>580.40440000000001</v>
      </c>
      <c r="G46" s="18" t="s">
        <v>27</v>
      </c>
      <c r="H46" s="13" t="s">
        <v>86</v>
      </c>
      <c r="J46" s="19">
        <v>5</v>
      </c>
      <c r="K46" s="13">
        <v>1</v>
      </c>
      <c r="L46" s="20">
        <f t="shared" si="18"/>
        <v>5</v>
      </c>
      <c r="M46" s="21" t="s">
        <v>89</v>
      </c>
      <c r="N46" s="13" t="s">
        <v>24</v>
      </c>
      <c r="Q46" s="13" t="s">
        <v>35</v>
      </c>
      <c r="R46" s="22">
        <v>74999</v>
      </c>
      <c r="T46" s="23">
        <f t="shared" si="5"/>
        <v>20833.055555555555</v>
      </c>
      <c r="U46" s="23">
        <f t="shared" si="5"/>
        <v>0</v>
      </c>
      <c r="V46" s="6">
        <f t="shared" si="27"/>
        <v>14.999799999999999</v>
      </c>
      <c r="W46" s="25"/>
      <c r="X46" s="6">
        <f t="shared" si="22"/>
        <v>4.166611111111111</v>
      </c>
      <c r="Y46" s="6"/>
      <c r="AA46" s="24">
        <f t="shared" si="6"/>
        <v>6249.9166666666661</v>
      </c>
      <c r="AC46" s="25">
        <f t="shared" si="17"/>
        <v>8.3310006220563393E-2</v>
      </c>
      <c r="AE46" s="32"/>
      <c r="AG46" s="25">
        <f t="shared" si="19"/>
        <v>0</v>
      </c>
      <c r="AI46" s="27">
        <f t="shared" si="23"/>
        <v>8.5639269406392701E-2</v>
      </c>
      <c r="AJ46" s="20">
        <v>3751</v>
      </c>
      <c r="AK46" s="28"/>
      <c r="AL46" s="13">
        <v>20</v>
      </c>
      <c r="AM46" s="20">
        <f t="shared" si="28"/>
        <v>75020</v>
      </c>
      <c r="AN46" s="20">
        <f t="shared" si="24"/>
        <v>15004000</v>
      </c>
      <c r="AS46" s="25">
        <f t="shared" si="7"/>
        <v>0.99972007464676083</v>
      </c>
      <c r="AT46" s="25"/>
      <c r="AU46" s="25">
        <f t="shared" si="25"/>
        <v>0.27770002073521133</v>
      </c>
      <c r="AW46" s="6"/>
      <c r="AX46" s="29">
        <f t="shared" si="26"/>
        <v>0</v>
      </c>
      <c r="AY46" s="25"/>
      <c r="AZ46" s="6"/>
    </row>
    <row r="47" spans="1:53">
      <c r="A47" s="17" t="str">
        <f t="shared" si="2"/>
        <v>\cite{Mendecka2018}</v>
      </c>
      <c r="B47" s="13" t="s">
        <v>85</v>
      </c>
      <c r="C47" s="13">
        <v>2018</v>
      </c>
      <c r="E47" s="13">
        <f t="shared" si="3"/>
        <v>2018</v>
      </c>
      <c r="F47" s="12">
        <f>LOOKUP(E47,Total_wind_installed_capacity!$A$3:$A$34,Total_wind_installed_capacity!$H$3:$H$34)</f>
        <v>580.40440000000001</v>
      </c>
      <c r="G47" s="18" t="s">
        <v>27</v>
      </c>
      <c r="H47" s="13" t="s">
        <v>86</v>
      </c>
      <c r="J47" s="19">
        <v>6</v>
      </c>
      <c r="K47" s="13">
        <v>1</v>
      </c>
      <c r="L47" s="20">
        <f t="shared" si="18"/>
        <v>6</v>
      </c>
      <c r="M47" s="21" t="s">
        <v>90</v>
      </c>
      <c r="N47" s="13" t="s">
        <v>24</v>
      </c>
      <c r="Q47" s="13" t="s">
        <v>35</v>
      </c>
      <c r="R47" s="22">
        <v>105502</v>
      </c>
      <c r="T47" s="23">
        <f t="shared" si="5"/>
        <v>29306.111111111109</v>
      </c>
      <c r="U47" s="23">
        <f t="shared" si="5"/>
        <v>0</v>
      </c>
      <c r="V47" s="6">
        <f t="shared" si="27"/>
        <v>17.583666666666669</v>
      </c>
      <c r="W47" s="25"/>
      <c r="X47" s="6">
        <f t="shared" si="22"/>
        <v>4.8843518518518527</v>
      </c>
      <c r="Y47" s="6"/>
      <c r="AA47" s="24">
        <f t="shared" si="6"/>
        <v>8791.8333333333321</v>
      </c>
      <c r="AC47" s="25">
        <f t="shared" si="17"/>
        <v>7.8864669297930859E-2</v>
      </c>
      <c r="AE47" s="32"/>
      <c r="AG47" s="25">
        <f t="shared" si="19"/>
        <v>0</v>
      </c>
      <c r="AI47" s="27">
        <f t="shared" si="23"/>
        <v>0.10605022831050229</v>
      </c>
      <c r="AJ47" s="20">
        <v>5574</v>
      </c>
      <c r="AK47" s="28"/>
      <c r="AL47" s="13">
        <v>20</v>
      </c>
      <c r="AM47" s="20">
        <f t="shared" si="28"/>
        <v>111480</v>
      </c>
      <c r="AN47" s="20">
        <f t="shared" si="24"/>
        <v>18580000</v>
      </c>
      <c r="AS47" s="25">
        <f t="shared" si="7"/>
        <v>0.94637603157517047</v>
      </c>
      <c r="AT47" s="25"/>
      <c r="AU47" s="25">
        <f t="shared" si="25"/>
        <v>0.26288223099310287</v>
      </c>
      <c r="AW47" s="6"/>
      <c r="AX47" s="29">
        <f t="shared" si="26"/>
        <v>0</v>
      </c>
      <c r="AY47" s="25"/>
      <c r="AZ47" s="6"/>
    </row>
    <row r="48" spans="1:53">
      <c r="A48" s="17" t="str">
        <f t="shared" si="2"/>
        <v>\cite{Mendecka2018}</v>
      </c>
      <c r="B48" s="13" t="s">
        <v>85</v>
      </c>
      <c r="C48" s="13">
        <v>2018</v>
      </c>
      <c r="E48" s="13">
        <f t="shared" si="3"/>
        <v>2018</v>
      </c>
      <c r="F48" s="12">
        <f>LOOKUP(E48,Total_wind_installed_capacity!$A$3:$A$34,Total_wind_installed_capacity!$H$3:$H$34)</f>
        <v>580.40440000000001</v>
      </c>
      <c r="G48" s="18" t="s">
        <v>27</v>
      </c>
      <c r="H48" s="13" t="s">
        <v>86</v>
      </c>
      <c r="J48" s="19">
        <v>20</v>
      </c>
      <c r="K48" s="13">
        <v>1</v>
      </c>
      <c r="L48" s="20">
        <f t="shared" si="18"/>
        <v>20</v>
      </c>
      <c r="M48" s="21" t="s">
        <v>91</v>
      </c>
      <c r="N48" s="13" t="s">
        <v>24</v>
      </c>
      <c r="Q48" s="13" t="s">
        <v>35</v>
      </c>
      <c r="R48" s="22">
        <v>218145</v>
      </c>
      <c r="T48" s="23">
        <f t="shared" si="5"/>
        <v>60595.833333333328</v>
      </c>
      <c r="U48" s="23">
        <f t="shared" si="5"/>
        <v>0</v>
      </c>
      <c r="V48" s="6">
        <f t="shared" si="27"/>
        <v>10.907249999999999</v>
      </c>
      <c r="W48" s="25"/>
      <c r="X48" s="6">
        <f t="shared" si="22"/>
        <v>3.0297916666666662</v>
      </c>
      <c r="Y48" s="6"/>
      <c r="AA48" s="24">
        <f t="shared" si="6"/>
        <v>18178.749999999996</v>
      </c>
      <c r="AC48" s="25">
        <f t="shared" si="17"/>
        <v>5.4957222322994125E-2</v>
      </c>
      <c r="AE48" s="32"/>
      <c r="AG48" s="25">
        <f t="shared" si="19"/>
        <v>0</v>
      </c>
      <c r="AI48" s="27">
        <f t="shared" si="23"/>
        <v>9.4400684931506856E-2</v>
      </c>
      <c r="AJ48" s="20">
        <v>16539</v>
      </c>
      <c r="AK48" s="28"/>
      <c r="AL48" s="13">
        <v>20</v>
      </c>
      <c r="AM48" s="20">
        <f t="shared" si="28"/>
        <v>330780</v>
      </c>
      <c r="AN48" s="20">
        <f t="shared" si="24"/>
        <v>16539000</v>
      </c>
      <c r="AS48" s="25">
        <f t="shared" si="7"/>
        <v>0.65948666787592958</v>
      </c>
      <c r="AT48" s="25"/>
      <c r="AU48" s="25">
        <f t="shared" si="25"/>
        <v>0.1831907410766471</v>
      </c>
      <c r="AW48" s="6"/>
      <c r="AX48" s="29">
        <f t="shared" si="26"/>
        <v>0</v>
      </c>
      <c r="AY48" s="25"/>
      <c r="AZ48" s="6"/>
    </row>
    <row r="49" spans="1:52">
      <c r="A49" s="17" t="str">
        <f t="shared" si="2"/>
        <v>\cite{Mendecka2018}</v>
      </c>
      <c r="B49" s="13" t="s">
        <v>85</v>
      </c>
      <c r="C49" s="13">
        <v>2018</v>
      </c>
      <c r="E49" s="13">
        <f t="shared" si="3"/>
        <v>2018</v>
      </c>
      <c r="F49" s="12">
        <f>LOOKUP(E49,Total_wind_installed_capacity!$A$3:$A$34,Total_wind_installed_capacity!$H$3:$H$34)</f>
        <v>580.40440000000001</v>
      </c>
      <c r="G49" s="18" t="s">
        <v>27</v>
      </c>
      <c r="H49" s="13" t="s">
        <v>86</v>
      </c>
      <c r="J49" s="19">
        <v>30</v>
      </c>
      <c r="K49" s="13">
        <v>1</v>
      </c>
      <c r="L49" s="20">
        <f t="shared" si="18"/>
        <v>30</v>
      </c>
      <c r="M49" s="21" t="s">
        <v>92</v>
      </c>
      <c r="N49" s="13" t="s">
        <v>24</v>
      </c>
      <c r="Q49" s="13" t="s">
        <v>35</v>
      </c>
      <c r="R49" s="22">
        <v>271479</v>
      </c>
      <c r="T49" s="23">
        <f t="shared" si="5"/>
        <v>75410.833333333328</v>
      </c>
      <c r="U49" s="23">
        <f t="shared" si="5"/>
        <v>0</v>
      </c>
      <c r="V49" s="6">
        <f t="shared" si="27"/>
        <v>9.0492999999999988</v>
      </c>
      <c r="W49" s="25"/>
      <c r="X49" s="6">
        <f t="shared" si="22"/>
        <v>2.513694444444444</v>
      </c>
      <c r="Y49" s="6"/>
      <c r="AA49" s="24">
        <f t="shared" si="6"/>
        <v>22623.249999999996</v>
      </c>
      <c r="AC49" s="25">
        <f t="shared" si="17"/>
        <v>4.8662615616261555E-2</v>
      </c>
      <c r="AE49" s="32"/>
      <c r="AG49" s="25">
        <f t="shared" si="19"/>
        <v>0</v>
      </c>
      <c r="AI49" s="27">
        <f t="shared" si="23"/>
        <v>8.8451293759512939E-2</v>
      </c>
      <c r="AJ49" s="20">
        <v>23245</v>
      </c>
      <c r="AK49" s="28"/>
      <c r="AL49" s="13">
        <v>20</v>
      </c>
      <c r="AM49" s="20">
        <f t="shared" si="28"/>
        <v>464900</v>
      </c>
      <c r="AN49" s="20">
        <f t="shared" si="24"/>
        <v>15496666.666666666</v>
      </c>
      <c r="AS49" s="25">
        <f t="shared" si="7"/>
        <v>0.58395138739513874</v>
      </c>
      <c r="AT49" s="25"/>
      <c r="AU49" s="25">
        <f t="shared" si="25"/>
        <v>0.16220871872087186</v>
      </c>
      <c r="AW49" s="6"/>
      <c r="AX49" s="29">
        <f t="shared" si="26"/>
        <v>0</v>
      </c>
      <c r="AY49" s="25"/>
      <c r="AZ49" s="6"/>
    </row>
    <row r="50" spans="1:52">
      <c r="A50" s="17" t="str">
        <f t="shared" si="2"/>
        <v>\cite{Mendecka2018}</v>
      </c>
      <c r="B50" s="13" t="s">
        <v>85</v>
      </c>
      <c r="C50" s="13">
        <v>2018</v>
      </c>
      <c r="E50" s="13">
        <f t="shared" si="3"/>
        <v>2018</v>
      </c>
      <c r="F50" s="12">
        <f>LOOKUP(E50,Total_wind_installed_capacity!$A$3:$A$34,Total_wind_installed_capacity!$H$3:$H$34)</f>
        <v>580.40440000000001</v>
      </c>
      <c r="G50" s="18" t="s">
        <v>27</v>
      </c>
      <c r="H50" s="13" t="s">
        <v>86</v>
      </c>
      <c r="J50" s="19">
        <v>100</v>
      </c>
      <c r="K50" s="13">
        <v>1</v>
      </c>
      <c r="L50" s="20">
        <f t="shared" si="18"/>
        <v>100</v>
      </c>
      <c r="M50" s="21" t="s">
        <v>93</v>
      </c>
      <c r="N50" s="13" t="s">
        <v>24</v>
      </c>
      <c r="Q50" s="13" t="s">
        <v>35</v>
      </c>
      <c r="R50" s="22">
        <v>857447</v>
      </c>
      <c r="T50" s="23">
        <f t="shared" si="5"/>
        <v>238179.72222222222</v>
      </c>
      <c r="U50" s="23">
        <f t="shared" si="5"/>
        <v>0</v>
      </c>
      <c r="V50" s="6">
        <f t="shared" si="27"/>
        <v>8.5744699999999998</v>
      </c>
      <c r="W50" s="25"/>
      <c r="X50" s="6">
        <f t="shared" si="22"/>
        <v>2.3817972222222221</v>
      </c>
      <c r="Y50" s="6"/>
      <c r="AA50" s="24">
        <f t="shared" si="6"/>
        <v>71453.916666666657</v>
      </c>
      <c r="AC50" s="25">
        <f t="shared" si="17"/>
        <v>3.3910379313508668E-2</v>
      </c>
      <c r="AE50" s="32"/>
      <c r="AG50" s="25">
        <f t="shared" si="19"/>
        <v>0</v>
      </c>
      <c r="AI50" s="27">
        <f t="shared" si="23"/>
        <v>0.12027054794520547</v>
      </c>
      <c r="AJ50" s="20">
        <v>105357</v>
      </c>
      <c r="AK50" s="28"/>
      <c r="AL50" s="13">
        <v>20</v>
      </c>
      <c r="AM50" s="20">
        <f t="shared" si="28"/>
        <v>2107140</v>
      </c>
      <c r="AN50" s="20">
        <f t="shared" si="24"/>
        <v>21071400</v>
      </c>
      <c r="AS50" s="25">
        <f t="shared" si="7"/>
        <v>0.40692455176210407</v>
      </c>
      <c r="AT50" s="25"/>
      <c r="AU50" s="25">
        <f t="shared" si="25"/>
        <v>0.11303459771169558</v>
      </c>
      <c r="AW50" s="6"/>
      <c r="AX50" s="29">
        <f t="shared" si="26"/>
        <v>0</v>
      </c>
      <c r="AY50" s="25"/>
      <c r="AZ50" s="6"/>
    </row>
    <row r="51" spans="1:52">
      <c r="A51" s="17" t="str">
        <f t="shared" si="2"/>
        <v>\cite{Mendecka2018}</v>
      </c>
      <c r="B51" s="13" t="s">
        <v>85</v>
      </c>
      <c r="C51" s="13">
        <v>2018</v>
      </c>
      <c r="E51" s="13">
        <f t="shared" si="3"/>
        <v>2018</v>
      </c>
      <c r="F51" s="12">
        <f>LOOKUP(E51,Total_wind_installed_capacity!$A$3:$A$34,Total_wind_installed_capacity!$H$3:$H$34)</f>
        <v>580.40440000000001</v>
      </c>
      <c r="G51" s="18" t="s">
        <v>27</v>
      </c>
      <c r="H51" s="13" t="s">
        <v>86</v>
      </c>
      <c r="J51" s="19">
        <v>500</v>
      </c>
      <c r="K51" s="13">
        <v>1</v>
      </c>
      <c r="L51" s="20">
        <f t="shared" si="18"/>
        <v>500</v>
      </c>
      <c r="M51" s="21" t="s">
        <v>94</v>
      </c>
      <c r="N51" s="13" t="s">
        <v>24</v>
      </c>
      <c r="Q51" s="13" t="s">
        <v>35</v>
      </c>
      <c r="R51" s="22">
        <v>2749900</v>
      </c>
      <c r="T51" s="23">
        <f t="shared" si="5"/>
        <v>763861.11111111112</v>
      </c>
      <c r="U51" s="23">
        <f t="shared" si="5"/>
        <v>0</v>
      </c>
      <c r="V51" s="6">
        <f t="shared" si="27"/>
        <v>5.4998000000000005</v>
      </c>
      <c r="W51" s="25"/>
      <c r="X51" s="6">
        <f t="shared" si="22"/>
        <v>1.5277222222222222</v>
      </c>
      <c r="Y51" s="6"/>
      <c r="AA51" s="24">
        <f t="shared" si="6"/>
        <v>229158.33333333334</v>
      </c>
      <c r="AC51" s="25">
        <f t="shared" si="17"/>
        <v>2.0956370754999381E-2</v>
      </c>
      <c r="AE51" s="32"/>
      <c r="AG51" s="25">
        <f t="shared" si="19"/>
        <v>0</v>
      </c>
      <c r="AI51" s="27">
        <f t="shared" si="23"/>
        <v>0.12482899543378995</v>
      </c>
      <c r="AJ51" s="20">
        <v>546751</v>
      </c>
      <c r="AK51" s="28"/>
      <c r="AL51" s="13">
        <v>20</v>
      </c>
      <c r="AM51" s="20">
        <f t="shared" si="28"/>
        <v>10935020</v>
      </c>
      <c r="AN51" s="20">
        <f t="shared" si="24"/>
        <v>21870040</v>
      </c>
      <c r="AS51" s="25">
        <f t="shared" si="7"/>
        <v>0.25147644905999256</v>
      </c>
      <c r="AT51" s="25"/>
      <c r="AU51" s="25">
        <f t="shared" si="25"/>
        <v>6.9854569183331272E-2</v>
      </c>
      <c r="AW51" s="6"/>
      <c r="AX51" s="29">
        <f t="shared" si="26"/>
        <v>0</v>
      </c>
      <c r="AY51" s="25"/>
      <c r="AZ51" s="6"/>
    </row>
    <row r="52" spans="1:52">
      <c r="A52" s="17" t="str">
        <f t="shared" si="2"/>
        <v>\cite{Mendecka2018}</v>
      </c>
      <c r="B52" s="13" t="s">
        <v>85</v>
      </c>
      <c r="C52" s="13">
        <v>2018</v>
      </c>
      <c r="E52" s="13">
        <f t="shared" si="3"/>
        <v>2018</v>
      </c>
      <c r="F52" s="12">
        <f>LOOKUP(E52,Total_wind_installed_capacity!$A$3:$A$34,Total_wind_installed_capacity!$H$3:$H$34)</f>
        <v>580.40440000000001</v>
      </c>
      <c r="G52" s="18" t="s">
        <v>27</v>
      </c>
      <c r="H52" s="13" t="s">
        <v>86</v>
      </c>
      <c r="J52" s="19">
        <v>600</v>
      </c>
      <c r="K52" s="13">
        <v>1</v>
      </c>
      <c r="L52" s="20">
        <f t="shared" si="18"/>
        <v>600</v>
      </c>
      <c r="M52" s="21" t="s">
        <v>95</v>
      </c>
      <c r="N52" s="13" t="s">
        <v>24</v>
      </c>
      <c r="Q52" s="13" t="s">
        <v>35</v>
      </c>
      <c r="R52" s="22">
        <v>2756100</v>
      </c>
      <c r="T52" s="23">
        <f t="shared" si="5"/>
        <v>765583.33333333337</v>
      </c>
      <c r="U52" s="23">
        <f t="shared" si="5"/>
        <v>0</v>
      </c>
      <c r="V52" s="6">
        <f t="shared" si="27"/>
        <v>4.5934999999999997</v>
      </c>
      <c r="W52" s="25"/>
      <c r="X52" s="6">
        <f t="shared" si="22"/>
        <v>1.2759722222222221</v>
      </c>
      <c r="Y52" s="6"/>
      <c r="AA52" s="24">
        <f t="shared" si="6"/>
        <v>229675.00000000003</v>
      </c>
      <c r="AC52" s="25">
        <f t="shared" si="17"/>
        <v>2.5585511921896099E-2</v>
      </c>
      <c r="AE52" s="32"/>
      <c r="AG52" s="25">
        <f t="shared" si="19"/>
        <v>0</v>
      </c>
      <c r="AI52" s="27">
        <f t="shared" si="23"/>
        <v>8.539535768645358E-2</v>
      </c>
      <c r="AJ52" s="20">
        <v>448838</v>
      </c>
      <c r="AK52" s="28"/>
      <c r="AL52" s="13">
        <v>20</v>
      </c>
      <c r="AM52" s="20">
        <f t="shared" si="28"/>
        <v>8976760</v>
      </c>
      <c r="AN52" s="20">
        <f t="shared" si="24"/>
        <v>14961266.666666666</v>
      </c>
      <c r="AS52" s="25">
        <f t="shared" si="7"/>
        <v>0.30702614306275317</v>
      </c>
      <c r="AT52" s="25"/>
      <c r="AU52" s="25">
        <f t="shared" si="25"/>
        <v>8.5285039739653665E-2</v>
      </c>
      <c r="AW52" s="6"/>
      <c r="AX52" s="29">
        <f t="shared" si="26"/>
        <v>0</v>
      </c>
      <c r="AY52" s="25"/>
      <c r="AZ52" s="6"/>
    </row>
    <row r="53" spans="1:52">
      <c r="A53" s="17" t="str">
        <f t="shared" si="2"/>
        <v>\cite{Mendecka2018}</v>
      </c>
      <c r="B53" s="13" t="s">
        <v>85</v>
      </c>
      <c r="C53" s="13">
        <v>2018</v>
      </c>
      <c r="E53" s="13">
        <f t="shared" si="3"/>
        <v>2018</v>
      </c>
      <c r="F53" s="12">
        <f>LOOKUP(E53,Total_wind_installed_capacity!$A$3:$A$34,Total_wind_installed_capacity!$H$3:$H$34)</f>
        <v>580.40440000000001</v>
      </c>
      <c r="G53" s="18" t="s">
        <v>27</v>
      </c>
      <c r="H53" s="13" t="s">
        <v>86</v>
      </c>
      <c r="J53" s="19">
        <v>660</v>
      </c>
      <c r="K53" s="13">
        <v>1</v>
      </c>
      <c r="L53" s="20">
        <f t="shared" si="18"/>
        <v>660</v>
      </c>
      <c r="M53" s="21" t="s">
        <v>75</v>
      </c>
      <c r="N53" s="13" t="s">
        <v>24</v>
      </c>
      <c r="Q53" s="13" t="s">
        <v>35</v>
      </c>
      <c r="R53" s="22">
        <v>2881648</v>
      </c>
      <c r="T53" s="23">
        <f t="shared" si="5"/>
        <v>800457.77777777775</v>
      </c>
      <c r="U53" s="23">
        <f t="shared" si="5"/>
        <v>0</v>
      </c>
      <c r="V53" s="6">
        <f t="shared" si="27"/>
        <v>4.366133333333333</v>
      </c>
      <c r="W53" s="25"/>
      <c r="X53" s="6">
        <f t="shared" si="22"/>
        <v>1.2128148148148148</v>
      </c>
      <c r="Y53" s="6"/>
      <c r="AA53" s="24">
        <f t="shared" si="6"/>
        <v>240137.33333333331</v>
      </c>
      <c r="AC53" s="25">
        <f t="shared" si="17"/>
        <v>2.4864290999856421E-2</v>
      </c>
      <c r="AE53" s="32"/>
      <c r="AG53" s="25">
        <f t="shared" si="19"/>
        <v>0</v>
      </c>
      <c r="AI53" s="27">
        <f t="shared" si="23"/>
        <v>8.3522900235229E-2</v>
      </c>
      <c r="AJ53" s="20">
        <v>482896</v>
      </c>
      <c r="AK53" s="28"/>
      <c r="AL53" s="13">
        <v>20</v>
      </c>
      <c r="AM53" s="20">
        <f t="shared" si="28"/>
        <v>9657920</v>
      </c>
      <c r="AN53" s="20">
        <f t="shared" si="24"/>
        <v>14633212.121212121</v>
      </c>
      <c r="AS53" s="25">
        <f t="shared" si="7"/>
        <v>0.29837149199827706</v>
      </c>
      <c r="AT53" s="25"/>
      <c r="AU53" s="25">
        <f t="shared" si="25"/>
        <v>8.2880969999521409E-2</v>
      </c>
      <c r="AW53" s="6"/>
      <c r="AX53" s="29">
        <f t="shared" si="26"/>
        <v>0</v>
      </c>
      <c r="AY53" s="25"/>
      <c r="AZ53" s="6"/>
    </row>
    <row r="54" spans="1:52">
      <c r="A54" s="17" t="str">
        <f t="shared" si="2"/>
        <v>\cite{Mendecka2018}</v>
      </c>
      <c r="B54" s="13" t="s">
        <v>85</v>
      </c>
      <c r="C54" s="13">
        <v>2018</v>
      </c>
      <c r="E54" s="13">
        <f t="shared" si="3"/>
        <v>2018</v>
      </c>
      <c r="F54" s="12">
        <f>LOOKUP(E54,Total_wind_installed_capacity!$A$3:$A$34,Total_wind_installed_capacity!$H$3:$H$34)</f>
        <v>580.40440000000001</v>
      </c>
      <c r="G54" s="18" t="s">
        <v>27</v>
      </c>
      <c r="H54" s="13" t="s">
        <v>86</v>
      </c>
      <c r="J54" s="19">
        <v>750</v>
      </c>
      <c r="K54" s="13">
        <v>1</v>
      </c>
      <c r="L54" s="20">
        <f t="shared" si="18"/>
        <v>750</v>
      </c>
      <c r="M54" s="21" t="s">
        <v>96</v>
      </c>
      <c r="N54" s="13" t="s">
        <v>24</v>
      </c>
      <c r="Q54" s="13" t="s">
        <v>35</v>
      </c>
      <c r="R54" s="22">
        <v>3053131</v>
      </c>
      <c r="T54" s="23">
        <f t="shared" si="5"/>
        <v>848091.94444444438</v>
      </c>
      <c r="U54" s="23">
        <f t="shared" si="5"/>
        <v>0</v>
      </c>
      <c r="V54" s="6">
        <f t="shared" si="27"/>
        <v>4.0708413333333331</v>
      </c>
      <c r="W54" s="25"/>
      <c r="X54" s="6">
        <f t="shared" si="22"/>
        <v>1.1307892592592592</v>
      </c>
      <c r="Y54" s="6"/>
      <c r="AA54" s="24">
        <f t="shared" si="6"/>
        <v>254427.58333333331</v>
      </c>
      <c r="AC54" s="25">
        <f t="shared" si="17"/>
        <v>2.3928784159558091E-2</v>
      </c>
      <c r="AE54" s="32"/>
      <c r="AG54" s="25">
        <f t="shared" si="19"/>
        <v>0</v>
      </c>
      <c r="AI54" s="27">
        <f t="shared" si="23"/>
        <v>8.0918569254185696E-2</v>
      </c>
      <c r="AJ54" s="20">
        <v>531635</v>
      </c>
      <c r="AK54" s="28"/>
      <c r="AL54" s="13">
        <v>20</v>
      </c>
      <c r="AM54" s="20">
        <f t="shared" si="28"/>
        <v>10632700</v>
      </c>
      <c r="AN54" s="20">
        <f t="shared" si="24"/>
        <v>14176933.333333332</v>
      </c>
      <c r="AS54" s="25">
        <f t="shared" si="7"/>
        <v>0.28714540991469711</v>
      </c>
      <c r="AT54" s="25"/>
      <c r="AU54" s="25">
        <f t="shared" si="25"/>
        <v>7.9762613865193635E-2</v>
      </c>
      <c r="AW54" s="6"/>
      <c r="AX54" s="29">
        <f t="shared" si="26"/>
        <v>0</v>
      </c>
      <c r="AY54" s="25"/>
      <c r="AZ54" s="6"/>
    </row>
    <row r="55" spans="1:52">
      <c r="A55" s="17" t="str">
        <f t="shared" si="2"/>
        <v>\cite{Mendecka2018}</v>
      </c>
      <c r="B55" s="13" t="s">
        <v>85</v>
      </c>
      <c r="C55" s="13">
        <v>2018</v>
      </c>
      <c r="E55" s="13">
        <f t="shared" si="3"/>
        <v>2018</v>
      </c>
      <c r="F55" s="12">
        <f>LOOKUP(E55,Total_wind_installed_capacity!$A$3:$A$34,Total_wind_installed_capacity!$H$3:$H$34)</f>
        <v>580.40440000000001</v>
      </c>
      <c r="G55" s="18" t="s">
        <v>27</v>
      </c>
      <c r="H55" s="13" t="s">
        <v>86</v>
      </c>
      <c r="J55" s="19">
        <v>850</v>
      </c>
      <c r="K55" s="13">
        <v>1</v>
      </c>
      <c r="L55" s="20">
        <f t="shared" si="18"/>
        <v>850</v>
      </c>
      <c r="M55" s="21" t="s">
        <v>97</v>
      </c>
      <c r="N55" s="13" t="s">
        <v>24</v>
      </c>
      <c r="Q55" s="13" t="s">
        <v>35</v>
      </c>
      <c r="R55" s="22">
        <v>2688487</v>
      </c>
      <c r="T55" s="23">
        <f t="shared" si="5"/>
        <v>746801.94444444438</v>
      </c>
      <c r="U55" s="23">
        <f t="shared" si="5"/>
        <v>0</v>
      </c>
      <c r="V55" s="6">
        <f t="shared" si="27"/>
        <v>3.1629258823529414</v>
      </c>
      <c r="W55" s="25"/>
      <c r="X55" s="6">
        <f t="shared" si="22"/>
        <v>0.87859052287581707</v>
      </c>
      <c r="Y55" s="6"/>
      <c r="AA55" s="24">
        <f t="shared" si="6"/>
        <v>224040.58333333331</v>
      </c>
      <c r="AC55" s="25">
        <f t="shared" si="17"/>
        <v>2.3046976798092932E-2</v>
      </c>
      <c r="AE55" s="32"/>
      <c r="AG55" s="25">
        <f t="shared" si="19"/>
        <v>0</v>
      </c>
      <c r="AI55" s="27">
        <f t="shared" si="23"/>
        <v>6.527692720923986E-2</v>
      </c>
      <c r="AJ55" s="20">
        <v>486052</v>
      </c>
      <c r="AK55" s="28"/>
      <c r="AL55" s="13">
        <v>20</v>
      </c>
      <c r="AM55" s="20">
        <f t="shared" si="28"/>
        <v>9721040</v>
      </c>
      <c r="AN55" s="20">
        <f t="shared" si="24"/>
        <v>11436517.647058822</v>
      </c>
      <c r="AS55" s="25">
        <f t="shared" si="7"/>
        <v>0.27656372157711523</v>
      </c>
      <c r="AT55" s="25"/>
      <c r="AU55" s="25">
        <f t="shared" si="25"/>
        <v>7.6823255993643105E-2</v>
      </c>
      <c r="AW55" s="6"/>
      <c r="AX55" s="29">
        <f t="shared" si="26"/>
        <v>0</v>
      </c>
      <c r="AY55" s="25"/>
      <c r="AZ55" s="6"/>
    </row>
    <row r="56" spans="1:52">
      <c r="A56" s="17" t="str">
        <f t="shared" si="2"/>
        <v>\cite{Mendecka2018}</v>
      </c>
      <c r="B56" s="13" t="s">
        <v>85</v>
      </c>
      <c r="C56" s="13">
        <v>2018</v>
      </c>
      <c r="E56" s="13">
        <f t="shared" si="3"/>
        <v>2018</v>
      </c>
      <c r="F56" s="12">
        <f>LOOKUP(E56,Total_wind_installed_capacity!$A$3:$A$34,Total_wind_installed_capacity!$H$3:$H$34)</f>
        <v>580.40440000000001</v>
      </c>
      <c r="G56" s="18" t="s">
        <v>27</v>
      </c>
      <c r="H56" s="13" t="s">
        <v>86</v>
      </c>
      <c r="J56" s="19">
        <v>1250</v>
      </c>
      <c r="K56" s="13">
        <v>1</v>
      </c>
      <c r="L56" s="20">
        <f t="shared" si="18"/>
        <v>1250</v>
      </c>
      <c r="M56" s="21" t="s">
        <v>98</v>
      </c>
      <c r="N56" s="13" t="s">
        <v>24</v>
      </c>
      <c r="P56" s="13">
        <v>64</v>
      </c>
      <c r="Q56" s="13" t="s">
        <v>35</v>
      </c>
      <c r="R56" s="22">
        <v>3469542</v>
      </c>
      <c r="T56" s="23">
        <f t="shared" si="5"/>
        <v>963761.66666666663</v>
      </c>
      <c r="U56" s="23">
        <f t="shared" si="5"/>
        <v>0</v>
      </c>
      <c r="V56" s="6">
        <f t="shared" si="27"/>
        <v>2.7756335999999999</v>
      </c>
      <c r="W56" s="25"/>
      <c r="X56" s="6">
        <f t="shared" si="22"/>
        <v>0.77100933333333332</v>
      </c>
      <c r="Y56" s="6"/>
      <c r="AA56" s="24">
        <f t="shared" si="6"/>
        <v>289128.5</v>
      </c>
      <c r="AC56" s="25">
        <f t="shared" si="17"/>
        <v>2.0528920843285552E-2</v>
      </c>
      <c r="AE56" s="32"/>
      <c r="AG56" s="25">
        <f t="shared" si="19"/>
        <v>0</v>
      </c>
      <c r="AI56" s="27">
        <f t="shared" si="23"/>
        <v>6.4310319634703197E-2</v>
      </c>
      <c r="AJ56" s="20">
        <v>704198</v>
      </c>
      <c r="AK56" s="28"/>
      <c r="AL56" s="13">
        <v>20</v>
      </c>
      <c r="AM56" s="20">
        <f t="shared" si="28"/>
        <v>14083960</v>
      </c>
      <c r="AN56" s="20">
        <f t="shared" si="24"/>
        <v>11267168</v>
      </c>
      <c r="AS56" s="25">
        <f t="shared" si="7"/>
        <v>0.24634705011942665</v>
      </c>
      <c r="AT56" s="25"/>
      <c r="AU56" s="25">
        <f t="shared" si="25"/>
        <v>6.8429736144285172E-2</v>
      </c>
      <c r="AW56" s="6"/>
      <c r="AX56" s="29">
        <f t="shared" si="26"/>
        <v>0</v>
      </c>
      <c r="AY56" s="25"/>
      <c r="AZ56" s="6"/>
    </row>
    <row r="57" spans="1:52">
      <c r="A57" s="17" t="str">
        <f t="shared" si="2"/>
        <v>\cite{Mendecka2018}</v>
      </c>
      <c r="B57" s="13" t="s">
        <v>85</v>
      </c>
      <c r="C57" s="13">
        <v>2018</v>
      </c>
      <c r="E57" s="13">
        <f t="shared" si="3"/>
        <v>2018</v>
      </c>
      <c r="F57" s="12">
        <f>LOOKUP(E57,Total_wind_installed_capacity!$A$3:$A$34,Total_wind_installed_capacity!$H$3:$H$34)</f>
        <v>580.40440000000001</v>
      </c>
      <c r="G57" s="18" t="s">
        <v>27</v>
      </c>
      <c r="H57" s="13" t="s">
        <v>86</v>
      </c>
      <c r="J57" s="19">
        <v>1800</v>
      </c>
      <c r="K57" s="13">
        <v>1</v>
      </c>
      <c r="L57" s="20">
        <f t="shared" si="18"/>
        <v>1800</v>
      </c>
      <c r="M57" s="21" t="s">
        <v>99</v>
      </c>
      <c r="N57" s="13" t="s">
        <v>24</v>
      </c>
      <c r="Q57" s="13" t="s">
        <v>35</v>
      </c>
      <c r="R57" s="22">
        <v>5187989</v>
      </c>
      <c r="T57" s="23">
        <f t="shared" si="5"/>
        <v>1441108.0555555555</v>
      </c>
      <c r="U57" s="23">
        <f t="shared" si="5"/>
        <v>0</v>
      </c>
      <c r="V57" s="6">
        <f t="shared" si="27"/>
        <v>2.8822161111111115</v>
      </c>
      <c r="W57" s="25"/>
      <c r="X57" s="6">
        <f t="shared" si="22"/>
        <v>0.80061558641975317</v>
      </c>
      <c r="Y57" s="6"/>
      <c r="AA57" s="24">
        <f t="shared" si="6"/>
        <v>432332.41666666663</v>
      </c>
      <c r="AC57" s="25">
        <f t="shared" si="17"/>
        <v>1.8401681466076562E-2</v>
      </c>
      <c r="AE57" s="32"/>
      <c r="AG57" s="25">
        <f t="shared" si="19"/>
        <v>0</v>
      </c>
      <c r="AI57" s="27">
        <f t="shared" si="23"/>
        <v>7.4499556062912226E-2</v>
      </c>
      <c r="AJ57" s="20">
        <v>1174709</v>
      </c>
      <c r="AK57" s="28"/>
      <c r="AL57" s="13">
        <v>20</v>
      </c>
      <c r="AM57" s="20">
        <f t="shared" si="28"/>
        <v>23494180</v>
      </c>
      <c r="AN57" s="20">
        <f t="shared" si="24"/>
        <v>13052322.222222224</v>
      </c>
      <c r="AS57" s="25">
        <f t="shared" si="7"/>
        <v>0.22082017759291875</v>
      </c>
      <c r="AT57" s="25"/>
      <c r="AU57" s="25">
        <f t="shared" si="25"/>
        <v>6.1338938220255206E-2</v>
      </c>
      <c r="AW57" s="6"/>
      <c r="AX57" s="29">
        <f t="shared" si="26"/>
        <v>0</v>
      </c>
      <c r="AY57" s="25"/>
      <c r="AZ57" s="6"/>
    </row>
    <row r="58" spans="1:52">
      <c r="A58" s="17" t="str">
        <f t="shared" si="2"/>
        <v>\cite{Mendecka2018}</v>
      </c>
      <c r="B58" s="13" t="s">
        <v>85</v>
      </c>
      <c r="C58" s="13">
        <v>2018</v>
      </c>
      <c r="E58" s="13">
        <f t="shared" si="3"/>
        <v>2018</v>
      </c>
      <c r="F58" s="12">
        <f>LOOKUP(E58,Total_wind_installed_capacity!$A$3:$A$34,Total_wind_installed_capacity!$H$3:$H$34)</f>
        <v>580.40440000000001</v>
      </c>
      <c r="G58" s="18" t="s">
        <v>27</v>
      </c>
      <c r="H58" s="13" t="s">
        <v>86</v>
      </c>
      <c r="J58" s="19">
        <v>2000</v>
      </c>
      <c r="K58" s="13">
        <v>1</v>
      </c>
      <c r="L58" s="20">
        <f t="shared" si="18"/>
        <v>2000</v>
      </c>
      <c r="M58" s="21" t="s">
        <v>100</v>
      </c>
      <c r="N58" s="13" t="s">
        <v>24</v>
      </c>
      <c r="Q58" s="13" t="s">
        <v>35</v>
      </c>
      <c r="R58" s="22">
        <v>4294111</v>
      </c>
      <c r="T58" s="23">
        <f t="shared" si="5"/>
        <v>1192808.611111111</v>
      </c>
      <c r="U58" s="23">
        <f t="shared" si="5"/>
        <v>0</v>
      </c>
      <c r="V58" s="6">
        <f t="shared" si="27"/>
        <v>2.1470555</v>
      </c>
      <c r="W58" s="25"/>
      <c r="X58" s="6">
        <f t="shared" si="22"/>
        <v>0.59640430555555557</v>
      </c>
      <c r="Y58" s="6"/>
      <c r="AA58" s="24">
        <f t="shared" si="6"/>
        <v>357842.58333333331</v>
      </c>
      <c r="AC58" s="25">
        <f t="shared" si="17"/>
        <v>1.7829138819218368E-2</v>
      </c>
      <c r="AE58" s="32"/>
      <c r="AG58" s="25">
        <f t="shared" si="19"/>
        <v>0</v>
      </c>
      <c r="AI58" s="27">
        <f t="shared" si="23"/>
        <v>5.7279280821917807E-2</v>
      </c>
      <c r="AJ58" s="20">
        <v>1003533</v>
      </c>
      <c r="AK58" s="28"/>
      <c r="AL58" s="13">
        <v>20</v>
      </c>
      <c r="AM58" s="20">
        <f t="shared" si="28"/>
        <v>20070660</v>
      </c>
      <c r="AN58" s="20">
        <f t="shared" si="24"/>
        <v>10035330</v>
      </c>
      <c r="AS58" s="25">
        <f t="shared" si="7"/>
        <v>0.21394966583062042</v>
      </c>
      <c r="AT58" s="25"/>
      <c r="AU58" s="25">
        <f t="shared" si="25"/>
        <v>5.9430462730727891E-2</v>
      </c>
      <c r="AW58" s="6"/>
      <c r="AX58" s="29">
        <f t="shared" si="26"/>
        <v>0</v>
      </c>
      <c r="AY58" s="25"/>
      <c r="AZ58" s="6"/>
    </row>
    <row r="59" spans="1:52">
      <c r="A59" s="17" t="str">
        <f t="shared" si="2"/>
        <v>\cite{Mendecka2018}</v>
      </c>
      <c r="B59" s="13" t="s">
        <v>85</v>
      </c>
      <c r="C59" s="13">
        <v>2018</v>
      </c>
      <c r="E59" s="13">
        <f t="shared" si="3"/>
        <v>2018</v>
      </c>
      <c r="F59" s="12">
        <f>LOOKUP(E59,Total_wind_installed_capacity!$A$3:$A$34,Total_wind_installed_capacity!$H$3:$H$34)</f>
        <v>580.40440000000001</v>
      </c>
      <c r="G59" s="18" t="s">
        <v>27</v>
      </c>
      <c r="H59" s="13" t="s">
        <v>86</v>
      </c>
      <c r="J59" s="19">
        <v>2000</v>
      </c>
      <c r="K59" s="13">
        <v>1</v>
      </c>
      <c r="L59" s="20">
        <f t="shared" si="18"/>
        <v>2000</v>
      </c>
      <c r="M59" s="21" t="s">
        <v>101</v>
      </c>
      <c r="N59" s="13" t="s">
        <v>24</v>
      </c>
      <c r="Q59" s="13" t="s">
        <v>35</v>
      </c>
      <c r="R59" s="22">
        <v>6648933</v>
      </c>
      <c r="T59" s="23">
        <f t="shared" si="5"/>
        <v>1846925.8333333333</v>
      </c>
      <c r="U59" s="23">
        <f t="shared" si="5"/>
        <v>0</v>
      </c>
      <c r="V59" s="6">
        <f t="shared" si="27"/>
        <v>3.3244665000000002</v>
      </c>
      <c r="W59" s="25"/>
      <c r="X59" s="6">
        <f t="shared" si="22"/>
        <v>0.92346291666666669</v>
      </c>
      <c r="Y59" s="6"/>
      <c r="AA59" s="24">
        <f t="shared" si="6"/>
        <v>554077.75</v>
      </c>
      <c r="AC59" s="25">
        <f t="shared" si="17"/>
        <v>1.572895015190217E-2</v>
      </c>
      <c r="AE59" s="32"/>
      <c r="AG59" s="25">
        <f t="shared" si="19"/>
        <v>0</v>
      </c>
      <c r="AI59" s="27">
        <f t="shared" si="23"/>
        <v>0.10053259132420091</v>
      </c>
      <c r="AJ59" s="20">
        <v>1761331</v>
      </c>
      <c r="AK59" s="28"/>
      <c r="AL59" s="13">
        <v>20</v>
      </c>
      <c r="AM59" s="20">
        <f t="shared" si="28"/>
        <v>35226620</v>
      </c>
      <c r="AN59" s="20">
        <f t="shared" si="24"/>
        <v>17613310</v>
      </c>
      <c r="AS59" s="25">
        <f t="shared" si="7"/>
        <v>0.18874740182282604</v>
      </c>
      <c r="AT59" s="25"/>
      <c r="AU59" s="25">
        <f t="shared" si="25"/>
        <v>5.2429833839673895E-2</v>
      </c>
      <c r="AW59" s="6"/>
      <c r="AX59" s="29">
        <f t="shared" si="26"/>
        <v>0</v>
      </c>
      <c r="AY59" s="25"/>
      <c r="AZ59" s="6"/>
    </row>
    <row r="60" spans="1:52">
      <c r="A60" s="17" t="str">
        <f t="shared" si="2"/>
        <v>\cite{Mendecka2018}</v>
      </c>
      <c r="B60" s="13" t="s">
        <v>85</v>
      </c>
      <c r="C60" s="13">
        <v>2018</v>
      </c>
      <c r="E60" s="13">
        <f t="shared" si="3"/>
        <v>2018</v>
      </c>
      <c r="F60" s="12">
        <f>LOOKUP(E60,Total_wind_installed_capacity!$A$3:$A$34,Total_wind_installed_capacity!$H$3:$H$34)</f>
        <v>580.40440000000001</v>
      </c>
      <c r="G60" s="18" t="s">
        <v>27</v>
      </c>
      <c r="H60" s="13" t="s">
        <v>86</v>
      </c>
      <c r="J60" s="19">
        <v>2000</v>
      </c>
      <c r="K60" s="13">
        <v>1</v>
      </c>
      <c r="L60" s="20">
        <f t="shared" si="18"/>
        <v>2000</v>
      </c>
      <c r="M60" s="21" t="s">
        <v>102</v>
      </c>
      <c r="N60" s="13" t="s">
        <v>24</v>
      </c>
      <c r="Q60" s="13" t="s">
        <v>35</v>
      </c>
      <c r="R60" s="22">
        <v>6607558</v>
      </c>
      <c r="T60" s="23">
        <f t="shared" si="5"/>
        <v>1835432.7777777778</v>
      </c>
      <c r="U60" s="23">
        <f t="shared" si="5"/>
        <v>0</v>
      </c>
      <c r="V60" s="6">
        <f t="shared" si="27"/>
        <v>3.303779</v>
      </c>
      <c r="W60" s="25"/>
      <c r="X60" s="6">
        <f t="shared" si="22"/>
        <v>0.91771638888888885</v>
      </c>
      <c r="Y60" s="6"/>
      <c r="AA60" s="24">
        <f t="shared" si="6"/>
        <v>550629.83333333326</v>
      </c>
      <c r="AC60" s="25">
        <f t="shared" si="17"/>
        <v>1.8991584050049158E-2</v>
      </c>
      <c r="AE60" s="32"/>
      <c r="AG60" s="25">
        <f t="shared" si="19"/>
        <v>0</v>
      </c>
      <c r="AI60" s="27">
        <f t="shared" si="23"/>
        <v>8.2743607305936065E-2</v>
      </c>
      <c r="AJ60" s="20">
        <v>1449668</v>
      </c>
      <c r="AK60" s="28"/>
      <c r="AL60" s="13">
        <v>20</v>
      </c>
      <c r="AM60" s="20">
        <f t="shared" si="28"/>
        <v>28993360</v>
      </c>
      <c r="AN60" s="20">
        <f t="shared" si="24"/>
        <v>14496680</v>
      </c>
      <c r="AS60" s="25">
        <f t="shared" si="7"/>
        <v>0.22789900860058993</v>
      </c>
      <c r="AT60" s="25"/>
      <c r="AU60" s="25">
        <f t="shared" si="25"/>
        <v>6.3305280166830541E-2</v>
      </c>
      <c r="AW60" s="6"/>
      <c r="AX60" s="29">
        <f t="shared" si="26"/>
        <v>0</v>
      </c>
      <c r="AY60" s="25"/>
      <c r="AZ60" s="6"/>
    </row>
    <row r="61" spans="1:52">
      <c r="A61" s="17" t="str">
        <f t="shared" si="2"/>
        <v>\cite{Mendecka2018}</v>
      </c>
      <c r="B61" s="13" t="s">
        <v>85</v>
      </c>
      <c r="C61" s="13">
        <v>2018</v>
      </c>
      <c r="E61" s="13">
        <f t="shared" si="3"/>
        <v>2018</v>
      </c>
      <c r="F61" s="12">
        <f>LOOKUP(E61,Total_wind_installed_capacity!$A$3:$A$34,Total_wind_installed_capacity!$H$3:$H$34)</f>
        <v>580.40440000000001</v>
      </c>
      <c r="G61" s="18" t="s">
        <v>27</v>
      </c>
      <c r="H61" s="13" t="s">
        <v>86</v>
      </c>
      <c r="J61" s="19">
        <v>2000</v>
      </c>
      <c r="K61" s="13">
        <v>1</v>
      </c>
      <c r="L61" s="20">
        <f t="shared" si="18"/>
        <v>2000</v>
      </c>
      <c r="M61" s="21" t="s">
        <v>103</v>
      </c>
      <c r="N61" s="13" t="s">
        <v>24</v>
      </c>
      <c r="P61" s="13">
        <v>80</v>
      </c>
      <c r="Q61" s="13" t="s">
        <v>35</v>
      </c>
      <c r="R61" s="22">
        <v>6501330</v>
      </c>
      <c r="T61" s="23">
        <f t="shared" si="5"/>
        <v>1805925</v>
      </c>
      <c r="U61" s="23">
        <f t="shared" si="5"/>
        <v>0</v>
      </c>
      <c r="V61" s="6">
        <f t="shared" si="27"/>
        <v>3.2506650000000001</v>
      </c>
      <c r="W61" s="25"/>
      <c r="X61" s="6">
        <f t="shared" si="22"/>
        <v>0.9029625</v>
      </c>
      <c r="Y61" s="6"/>
      <c r="AA61" s="24">
        <f t="shared" si="6"/>
        <v>541777.5</v>
      </c>
      <c r="AC61" s="25">
        <f t="shared" si="17"/>
        <v>1.8849666794470258E-2</v>
      </c>
      <c r="AE61" s="32"/>
      <c r="AG61" s="25">
        <f t="shared" si="19"/>
        <v>0</v>
      </c>
      <c r="AI61" s="27">
        <f t="shared" si="23"/>
        <v>8.2026312785388134E-2</v>
      </c>
      <c r="AJ61" s="20">
        <v>1437101</v>
      </c>
      <c r="AK61" s="28"/>
      <c r="AL61" s="13">
        <v>20</v>
      </c>
      <c r="AM61" s="20">
        <f t="shared" si="28"/>
        <v>28742020</v>
      </c>
      <c r="AN61" s="20">
        <f t="shared" si="24"/>
        <v>14371010</v>
      </c>
      <c r="AS61" s="25">
        <f t="shared" si="7"/>
        <v>0.22619600153364308</v>
      </c>
      <c r="AT61" s="25"/>
      <c r="AU61" s="25">
        <f t="shared" si="25"/>
        <v>6.2832222648234182E-2</v>
      </c>
      <c r="AW61" s="6"/>
      <c r="AX61" s="29">
        <f t="shared" si="26"/>
        <v>0</v>
      </c>
      <c r="AY61" s="25"/>
      <c r="AZ61" s="6"/>
    </row>
    <row r="62" spans="1:52">
      <c r="A62" s="17" t="str">
        <f t="shared" si="2"/>
        <v>\cite{Mendecka2018}</v>
      </c>
      <c r="B62" s="13" t="s">
        <v>85</v>
      </c>
      <c r="C62" s="13">
        <v>2018</v>
      </c>
      <c r="E62" s="13">
        <f t="shared" si="3"/>
        <v>2018</v>
      </c>
      <c r="F62" s="12">
        <f>LOOKUP(E62,Total_wind_installed_capacity!$A$3:$A$34,Total_wind_installed_capacity!$H$3:$H$34)</f>
        <v>580.40440000000001</v>
      </c>
      <c r="G62" s="18" t="s">
        <v>27</v>
      </c>
      <c r="H62" s="13" t="s">
        <v>86</v>
      </c>
      <c r="J62" s="19">
        <v>2000</v>
      </c>
      <c r="K62" s="13">
        <v>1</v>
      </c>
      <c r="L62" s="20">
        <f t="shared" si="18"/>
        <v>2000</v>
      </c>
      <c r="M62" s="21" t="s">
        <v>104</v>
      </c>
      <c r="N62" s="13" t="s">
        <v>24</v>
      </c>
      <c r="Q62" s="13" t="s">
        <v>35</v>
      </c>
      <c r="R62" s="22">
        <v>7927528</v>
      </c>
      <c r="T62" s="23">
        <f t="shared" si="5"/>
        <v>2202091.111111111</v>
      </c>
      <c r="U62" s="23">
        <f t="shared" si="5"/>
        <v>0</v>
      </c>
      <c r="V62" s="6">
        <f t="shared" si="27"/>
        <v>3.9637640000000003</v>
      </c>
      <c r="W62" s="25"/>
      <c r="X62" s="6">
        <f t="shared" si="22"/>
        <v>1.1010455555555556</v>
      </c>
      <c r="Y62" s="6"/>
      <c r="AA62" s="24">
        <f t="shared" si="6"/>
        <v>660627.33333333326</v>
      </c>
      <c r="AC62" s="25">
        <f t="shared" si="17"/>
        <v>1.5894051100732578E-2</v>
      </c>
      <c r="AE62" s="32"/>
      <c r="AG62" s="25">
        <f t="shared" si="19"/>
        <v>0</v>
      </c>
      <c r="AI62" s="27">
        <f t="shared" si="23"/>
        <v>0.11861997716894979</v>
      </c>
      <c r="AJ62" s="20">
        <v>2078222</v>
      </c>
      <c r="AK62" s="28"/>
      <c r="AL62" s="13">
        <v>20</v>
      </c>
      <c r="AM62" s="20">
        <f t="shared" si="28"/>
        <v>41564440</v>
      </c>
      <c r="AN62" s="20">
        <f t="shared" si="24"/>
        <v>20782220</v>
      </c>
      <c r="AS62" s="25">
        <f t="shared" si="7"/>
        <v>0.19072861320879098</v>
      </c>
      <c r="AT62" s="25"/>
      <c r="AU62" s="25">
        <f t="shared" si="25"/>
        <v>5.2980170335775269E-2</v>
      </c>
      <c r="AW62" s="6"/>
      <c r="AX62" s="29">
        <f t="shared" si="26"/>
        <v>0</v>
      </c>
      <c r="AY62" s="25"/>
      <c r="AZ62" s="6"/>
    </row>
    <row r="63" spans="1:52">
      <c r="A63" s="17" t="str">
        <f t="shared" si="2"/>
        <v>\cite{Mendecka2018}</v>
      </c>
      <c r="B63" s="13" t="s">
        <v>85</v>
      </c>
      <c r="C63" s="13">
        <v>2018</v>
      </c>
      <c r="E63" s="13">
        <f t="shared" si="3"/>
        <v>2018</v>
      </c>
      <c r="F63" s="12">
        <f>LOOKUP(E63,Total_wind_installed_capacity!$A$3:$A$34,Total_wind_installed_capacity!$H$3:$H$34)</f>
        <v>580.40440000000001</v>
      </c>
      <c r="G63" s="18" t="s">
        <v>27</v>
      </c>
      <c r="H63" s="13" t="s">
        <v>86</v>
      </c>
      <c r="J63" s="19">
        <v>3000</v>
      </c>
      <c r="K63" s="13">
        <v>1</v>
      </c>
      <c r="L63" s="20">
        <f t="shared" si="18"/>
        <v>3000</v>
      </c>
      <c r="M63" s="21" t="s">
        <v>105</v>
      </c>
      <c r="N63" s="13" t="s">
        <v>24</v>
      </c>
      <c r="Q63" s="13" t="s">
        <v>35</v>
      </c>
      <c r="R63" s="22">
        <v>8560661</v>
      </c>
      <c r="T63" s="23">
        <f t="shared" si="5"/>
        <v>2377961.388888889</v>
      </c>
      <c r="U63" s="23">
        <f t="shared" si="5"/>
        <v>0</v>
      </c>
      <c r="V63" s="6">
        <f t="shared" si="27"/>
        <v>2.8535536666666665</v>
      </c>
      <c r="W63" s="25"/>
      <c r="X63" s="6">
        <f t="shared" si="22"/>
        <v>0.79265379629629629</v>
      </c>
      <c r="Y63" s="6"/>
      <c r="AA63" s="24">
        <f t="shared" si="6"/>
        <v>713388.41666666663</v>
      </c>
      <c r="AC63" s="25">
        <f t="shared" si="17"/>
        <v>1.2846817788803578E-2</v>
      </c>
      <c r="AE63" s="32"/>
      <c r="AG63" s="25">
        <f t="shared" si="19"/>
        <v>0</v>
      </c>
      <c r="AI63" s="27">
        <f t="shared" si="23"/>
        <v>0.1056513698630137</v>
      </c>
      <c r="AJ63" s="20">
        <v>2776518</v>
      </c>
      <c r="AK63" s="28"/>
      <c r="AL63" s="13">
        <v>20</v>
      </c>
      <c r="AM63" s="20">
        <f t="shared" si="28"/>
        <v>55530360</v>
      </c>
      <c r="AN63" s="20">
        <f t="shared" si="24"/>
        <v>18510120</v>
      </c>
      <c r="AS63" s="25">
        <f t="shared" si="7"/>
        <v>0.15416181346564295</v>
      </c>
      <c r="AT63" s="25"/>
      <c r="AU63" s="25">
        <f t="shared" si="25"/>
        <v>4.2822725962678596E-2</v>
      </c>
      <c r="AW63" s="6"/>
      <c r="AX63" s="29">
        <f t="shared" si="26"/>
        <v>0</v>
      </c>
      <c r="AY63" s="25"/>
      <c r="AZ63" s="6"/>
    </row>
    <row r="64" spans="1:52">
      <c r="A64" s="17" t="str">
        <f t="shared" si="2"/>
        <v>\cite{Xie2020}</v>
      </c>
      <c r="B64" s="13" t="s">
        <v>106</v>
      </c>
      <c r="C64" s="13">
        <v>2020</v>
      </c>
      <c r="E64" s="13">
        <f t="shared" si="3"/>
        <v>2020</v>
      </c>
      <c r="F64" s="12">
        <f>LOOKUP(E64,Total_wind_installed_capacity!$A$3:$A$34,Total_wind_installed_capacity!$H$3:$H$34)</f>
        <v>741.39724999999999</v>
      </c>
      <c r="G64" s="18" t="s">
        <v>27</v>
      </c>
      <c r="H64" s="13" t="s">
        <v>33</v>
      </c>
      <c r="I64" s="18" t="s">
        <v>19</v>
      </c>
      <c r="J64" s="19">
        <v>660</v>
      </c>
      <c r="K64" s="13">
        <v>4</v>
      </c>
      <c r="L64" s="20">
        <f t="shared" si="18"/>
        <v>2640</v>
      </c>
      <c r="M64" s="21" t="s">
        <v>75</v>
      </c>
      <c r="N64" s="13" t="s">
        <v>24</v>
      </c>
      <c r="O64" s="13">
        <v>47</v>
      </c>
      <c r="P64" s="13">
        <v>55</v>
      </c>
      <c r="Q64" s="13" t="s">
        <v>20</v>
      </c>
      <c r="R64" s="34">
        <v>5856535</v>
      </c>
      <c r="T64" s="23">
        <f t="shared" si="5"/>
        <v>1626815.2777777778</v>
      </c>
      <c r="U64" s="23">
        <f t="shared" si="5"/>
        <v>0</v>
      </c>
      <c r="V64" s="6">
        <f t="shared" si="27"/>
        <v>2.2183844696969697</v>
      </c>
      <c r="W64" s="25"/>
      <c r="X64" s="6">
        <f t="shared" si="22"/>
        <v>0.61621790824915823</v>
      </c>
      <c r="Y64" s="6"/>
      <c r="AA64" s="24">
        <f t="shared" si="6"/>
        <v>488044.58333333331</v>
      </c>
      <c r="AC64" s="25">
        <f t="shared" si="17"/>
        <v>3.4176791549953315E-3</v>
      </c>
      <c r="AE64" s="32">
        <f>169921+47663+15887+152929</f>
        <v>386400</v>
      </c>
      <c r="AG64" s="25">
        <f t="shared" si="19"/>
        <v>0.14636363636363636</v>
      </c>
      <c r="AI64" s="27">
        <f t="shared" si="23"/>
        <v>0.30873806558738065</v>
      </c>
      <c r="AJ64" s="20">
        <f>AM64/AL64</f>
        <v>7140000</v>
      </c>
      <c r="AL64" s="13">
        <v>20</v>
      </c>
      <c r="AM64" s="20">
        <f>142.8*1000000</f>
        <v>142800000</v>
      </c>
      <c r="AN64" s="20">
        <f t="shared" si="24"/>
        <v>54090909.090909086</v>
      </c>
      <c r="AS64" s="25">
        <f t="shared" si="7"/>
        <v>4.1012149859943975E-2</v>
      </c>
      <c r="AT64" s="25"/>
      <c r="AU64" s="25">
        <f t="shared" si="25"/>
        <v>1.1392263849984438E-2</v>
      </c>
      <c r="AW64" s="6"/>
      <c r="AX64" s="29">
        <f t="shared" si="26"/>
        <v>2.7058823529411766</v>
      </c>
      <c r="AY64" s="25"/>
      <c r="AZ64" s="6"/>
    </row>
    <row r="65" spans="1:53">
      <c r="A65" s="17" t="str">
        <f t="shared" si="2"/>
        <v>\cite{Xie2020}</v>
      </c>
      <c r="B65" s="13" t="s">
        <v>106</v>
      </c>
      <c r="C65" s="13">
        <v>2020</v>
      </c>
      <c r="E65" s="13">
        <f t="shared" si="3"/>
        <v>2020</v>
      </c>
      <c r="F65" s="12">
        <f>LOOKUP(E65,Total_wind_installed_capacity!$A$3:$A$34,Total_wind_installed_capacity!$H$3:$H$34)</f>
        <v>741.39724999999999</v>
      </c>
      <c r="G65" s="18" t="s">
        <v>27</v>
      </c>
      <c r="H65" s="13" t="s">
        <v>33</v>
      </c>
      <c r="I65" s="18" t="s">
        <v>19</v>
      </c>
      <c r="J65" s="19">
        <v>600</v>
      </c>
      <c r="K65" s="13">
        <v>4</v>
      </c>
      <c r="L65" s="20">
        <f t="shared" si="18"/>
        <v>2400</v>
      </c>
      <c r="M65" s="21" t="s">
        <v>78</v>
      </c>
      <c r="N65" s="13" t="s">
        <v>24</v>
      </c>
      <c r="O65" s="13">
        <v>40</v>
      </c>
      <c r="P65" s="13">
        <v>65</v>
      </c>
      <c r="Q65" s="13" t="s">
        <v>20</v>
      </c>
      <c r="R65" s="22">
        <v>5798158</v>
      </c>
      <c r="T65" s="23">
        <f t="shared" si="5"/>
        <v>1610599.4444444445</v>
      </c>
      <c r="U65" s="23">
        <f t="shared" si="5"/>
        <v>0</v>
      </c>
      <c r="V65" s="6">
        <f t="shared" si="27"/>
        <v>2.4158991666666667</v>
      </c>
      <c r="W65" s="25"/>
      <c r="X65" s="6">
        <f t="shared" si="22"/>
        <v>0.67108310185185183</v>
      </c>
      <c r="Y65" s="6"/>
      <c r="AA65" s="24">
        <f t="shared" si="6"/>
        <v>483179.83333333331</v>
      </c>
      <c r="AC65" s="25">
        <f t="shared" si="17"/>
        <v>2.7236743705373917E-3</v>
      </c>
      <c r="AE65" s="32">
        <f>157240+44106+14702+141516</f>
        <v>357564</v>
      </c>
      <c r="AG65" s="25">
        <f t="shared" si="19"/>
        <v>0.14898500000000001</v>
      </c>
      <c r="AI65" s="27">
        <f t="shared" si="23"/>
        <v>0.42189878234398787</v>
      </c>
      <c r="AJ65" s="20">
        <f t="shared" ref="AJ65" si="29">AM65/AL65</f>
        <v>8870000</v>
      </c>
      <c r="AL65" s="13">
        <v>20</v>
      </c>
      <c r="AM65" s="20">
        <f>177.4*1000000</f>
        <v>177400000</v>
      </c>
      <c r="AN65" s="20">
        <f t="shared" si="24"/>
        <v>73916666.666666672</v>
      </c>
      <c r="AS65" s="25">
        <f t="shared" si="7"/>
        <v>3.2684092446448702E-2</v>
      </c>
      <c r="AT65" s="25"/>
      <c r="AU65" s="25">
        <f t="shared" si="25"/>
        <v>9.0789145684579738E-3</v>
      </c>
      <c r="AW65" s="6"/>
      <c r="AX65" s="29">
        <f t="shared" si="26"/>
        <v>2.0155806087936865</v>
      </c>
      <c r="AY65" s="25"/>
      <c r="AZ65" s="6"/>
    </row>
    <row r="66" spans="1:53">
      <c r="A66" s="17" t="str">
        <f t="shared" si="2"/>
        <v>\cite{Xie2020}</v>
      </c>
      <c r="B66" s="13" t="s">
        <v>106</v>
      </c>
      <c r="C66" s="13">
        <v>2020</v>
      </c>
      <c r="E66" s="13">
        <f t="shared" si="3"/>
        <v>2020</v>
      </c>
      <c r="F66" s="12">
        <f>LOOKUP(E66,Total_wind_installed_capacity!$A$3:$A$34,Total_wind_installed_capacity!$H$3:$H$34)</f>
        <v>741.39724999999999</v>
      </c>
      <c r="G66" s="18" t="s">
        <v>27</v>
      </c>
      <c r="H66" s="13" t="s">
        <v>33</v>
      </c>
      <c r="I66" s="18" t="s">
        <v>19</v>
      </c>
      <c r="J66" s="19">
        <v>1750</v>
      </c>
      <c r="K66" s="13">
        <v>2</v>
      </c>
      <c r="L66" s="20">
        <f t="shared" si="18"/>
        <v>3500</v>
      </c>
      <c r="M66" s="21" t="s">
        <v>107</v>
      </c>
      <c r="N66" s="13" t="s">
        <v>24</v>
      </c>
      <c r="O66" s="13">
        <v>66</v>
      </c>
      <c r="P66" s="13">
        <v>67</v>
      </c>
      <c r="Q66" s="13" t="s">
        <v>20</v>
      </c>
      <c r="R66" s="22">
        <v>16927519</v>
      </c>
      <c r="T66" s="23">
        <f t="shared" si="5"/>
        <v>4702088.611111111</v>
      </c>
      <c r="U66" s="23">
        <f t="shared" si="5"/>
        <v>0</v>
      </c>
      <c r="V66" s="6">
        <f>R66/$L66/1000</f>
        <v>4.8364340000000006</v>
      </c>
      <c r="W66" s="25"/>
      <c r="X66" s="6">
        <f t="shared" si="22"/>
        <v>1.3434538888888889</v>
      </c>
      <c r="Y66" s="6"/>
      <c r="AA66" s="24">
        <f t="shared" si="6"/>
        <v>1410626.5833333333</v>
      </c>
      <c r="AC66" s="25">
        <f t="shared" ref="AC66:AC97" si="30">IF(AND(AA66&gt;0,AM66&gt;0),AA66/AM66, IF(AU66&gt;0, IF(Z66&gt;0, AU66*Z66/100,AU66*30/100),0))</f>
        <v>1.0402850909537856E-2</v>
      </c>
      <c r="AE66" s="32">
        <f>465077+130454+43485+418569</f>
        <v>1057585</v>
      </c>
      <c r="AG66" s="25">
        <f>AE66/$L66/1000</f>
        <v>0.30216714285714286</v>
      </c>
      <c r="AI66" s="27">
        <f t="shared" si="23"/>
        <v>0.22113502935420742</v>
      </c>
      <c r="AJ66" s="20">
        <f>AM66/AL66</f>
        <v>6780000</v>
      </c>
      <c r="AL66" s="13">
        <v>20</v>
      </c>
      <c r="AM66" s="20">
        <f>135.6*1000000</f>
        <v>135600000</v>
      </c>
      <c r="AN66" s="20">
        <f t="shared" si="24"/>
        <v>38742857.142857142</v>
      </c>
      <c r="AS66" s="25">
        <f t="shared" si="7"/>
        <v>0.12483421091445428</v>
      </c>
      <c r="AT66" s="25"/>
      <c r="AU66" s="25">
        <f t="shared" si="25"/>
        <v>3.4676169698459519E-2</v>
      </c>
      <c r="AW66" s="6"/>
      <c r="AX66" s="29">
        <f t="shared" si="26"/>
        <v>7.7992994100294988</v>
      </c>
      <c r="AY66" s="25"/>
      <c r="AZ66" s="6"/>
    </row>
    <row r="67" spans="1:53">
      <c r="A67" s="17" t="str">
        <f t="shared" ref="A67:A130" si="31">CONCATENATE("\cite{",B67,C67,"}")</f>
        <v>\cite{Ji2016}</v>
      </c>
      <c r="B67" s="13" t="s">
        <v>108</v>
      </c>
      <c r="C67" s="13">
        <v>2016</v>
      </c>
      <c r="E67" s="13">
        <f t="shared" ref="E67:E130" si="32">IF(D67&gt;0,D67,C67)</f>
        <v>2016</v>
      </c>
      <c r="F67" s="12">
        <f>LOOKUP(E67,Total_wind_installed_capacity!$A$3:$A$34,Total_wind_installed_capacity!$H$3:$H$34)</f>
        <v>480.73440000000005</v>
      </c>
      <c r="G67" s="18" t="s">
        <v>109</v>
      </c>
      <c r="H67" s="13" t="s">
        <v>86</v>
      </c>
      <c r="I67" s="18" t="s">
        <v>19</v>
      </c>
      <c r="J67" s="19">
        <v>2000</v>
      </c>
      <c r="K67" s="13">
        <v>24</v>
      </c>
      <c r="L67" s="20">
        <f t="shared" si="18"/>
        <v>48000</v>
      </c>
      <c r="N67" s="13" t="s">
        <v>24</v>
      </c>
      <c r="Q67" s="13" t="s">
        <v>20</v>
      </c>
      <c r="T67" s="23">
        <f t="shared" ref="T67:U130" si="33">R67/3.6</f>
        <v>0</v>
      </c>
      <c r="U67" s="23">
        <f t="shared" si="33"/>
        <v>0</v>
      </c>
      <c r="V67" s="25"/>
      <c r="W67" s="25"/>
      <c r="AC67" s="25">
        <f t="shared" si="30"/>
        <v>0</v>
      </c>
      <c r="AE67" s="32">
        <f>(6020+2360+1118.16+1100+400+48.43+38.71+34.7+2110+108.73+1.27+1100+50)*1000</f>
        <v>14490000</v>
      </c>
      <c r="AG67" s="25">
        <f>AE67/$L67/1000</f>
        <v>0.301875</v>
      </c>
      <c r="AI67" s="27">
        <f t="shared" si="23"/>
        <v>0.30270167427701672</v>
      </c>
      <c r="AJ67" s="20">
        <f>127.28*1000000</f>
        <v>127280000</v>
      </c>
      <c r="AL67" s="13">
        <v>20</v>
      </c>
      <c r="AM67" s="20">
        <f>AJ67*AL67</f>
        <v>2545600000</v>
      </c>
      <c r="AN67" s="20">
        <f t="shared" si="24"/>
        <v>53033333.333333336</v>
      </c>
      <c r="AS67" s="25">
        <f t="shared" ref="AS67:AS130" si="34">R67/AM67</f>
        <v>0</v>
      </c>
      <c r="AT67" s="25"/>
      <c r="AU67" s="25">
        <f t="shared" si="25"/>
        <v>0</v>
      </c>
      <c r="AW67" s="6"/>
      <c r="AX67" s="29">
        <f t="shared" si="26"/>
        <v>5.6921747328724077</v>
      </c>
      <c r="AY67" s="25"/>
      <c r="AZ67" s="6"/>
      <c r="BA67" s="18" t="s">
        <v>110</v>
      </c>
    </row>
    <row r="68" spans="1:53">
      <c r="A68" s="17" t="str">
        <f t="shared" si="31"/>
        <v>\cite{Ji2016}</v>
      </c>
      <c r="B68" s="13" t="s">
        <v>108</v>
      </c>
      <c r="C68" s="13">
        <v>2016</v>
      </c>
      <c r="E68" s="13">
        <f t="shared" si="32"/>
        <v>2016</v>
      </c>
      <c r="F68" s="12">
        <f>LOOKUP(E68,Total_wind_installed_capacity!$A$3:$A$34,Total_wind_installed_capacity!$H$3:$H$34)</f>
        <v>480.73440000000005</v>
      </c>
      <c r="G68" s="18" t="s">
        <v>109</v>
      </c>
      <c r="H68" s="13" t="s">
        <v>86</v>
      </c>
      <c r="I68" s="18" t="s">
        <v>19</v>
      </c>
      <c r="J68" s="19">
        <v>2000</v>
      </c>
      <c r="K68" s="13">
        <v>24</v>
      </c>
      <c r="L68" s="20">
        <f t="shared" si="18"/>
        <v>48000</v>
      </c>
      <c r="N68" s="13" t="s">
        <v>24</v>
      </c>
      <c r="Q68" s="13" t="s">
        <v>20</v>
      </c>
      <c r="T68" s="23">
        <f t="shared" si="33"/>
        <v>0</v>
      </c>
      <c r="U68" s="23">
        <f t="shared" si="33"/>
        <v>0</v>
      </c>
      <c r="V68" s="25"/>
      <c r="W68" s="25"/>
      <c r="AC68" s="25">
        <f t="shared" si="30"/>
        <v>0</v>
      </c>
      <c r="AE68" s="32">
        <f>(6020+2360+1118.16+1100+400+48.43+38.71+34.7+2110+108.73+1.27+1100+50)*1000</f>
        <v>14490000</v>
      </c>
      <c r="AG68" s="25">
        <f t="shared" si="19"/>
        <v>0.301875</v>
      </c>
      <c r="AI68" s="27">
        <f t="shared" si="23"/>
        <v>0.22823915525114155</v>
      </c>
      <c r="AJ68" s="20">
        <f>95.97*1000000</f>
        <v>95970000</v>
      </c>
      <c r="AL68" s="13">
        <v>20</v>
      </c>
      <c r="AM68" s="20">
        <f>AJ68*AL68</f>
        <v>1919400000</v>
      </c>
      <c r="AN68" s="20">
        <f t="shared" si="24"/>
        <v>39987500</v>
      </c>
      <c r="AS68" s="25">
        <f t="shared" si="34"/>
        <v>0</v>
      </c>
      <c r="AT68" s="25"/>
      <c r="AU68" s="25">
        <f t="shared" si="25"/>
        <v>0</v>
      </c>
      <c r="AW68" s="6"/>
      <c r="AX68" s="29">
        <f t="shared" si="26"/>
        <v>7.5492341356673958</v>
      </c>
      <c r="AY68" s="25"/>
      <c r="AZ68" s="6"/>
      <c r="BA68" s="18" t="s">
        <v>111</v>
      </c>
    </row>
    <row r="69" spans="1:53">
      <c r="A69" s="17" t="str">
        <f t="shared" si="31"/>
        <v>\cite{Liu2021}</v>
      </c>
      <c r="B69" s="13" t="s">
        <v>112</v>
      </c>
      <c r="C69" s="13">
        <v>2021</v>
      </c>
      <c r="E69" s="13">
        <f t="shared" si="32"/>
        <v>2021</v>
      </c>
      <c r="F69" s="12">
        <f>LOOKUP(E69,Total_wind_installed_capacity!$A$3:$A$34,Total_wind_installed_capacity!$H$3:$H$34)</f>
        <v>741.39724999999999</v>
      </c>
      <c r="H69" s="13" t="s">
        <v>33</v>
      </c>
      <c r="I69" s="18" t="s">
        <v>19</v>
      </c>
      <c r="J69" s="19">
        <v>1500</v>
      </c>
      <c r="K69" s="13">
        <v>33</v>
      </c>
      <c r="L69" s="20">
        <f t="shared" si="18"/>
        <v>49500</v>
      </c>
      <c r="N69" s="13" t="s">
        <v>24</v>
      </c>
      <c r="Q69" s="13" t="s">
        <v>20</v>
      </c>
      <c r="T69" s="23">
        <f t="shared" si="33"/>
        <v>0</v>
      </c>
      <c r="U69" s="23">
        <f t="shared" si="33"/>
        <v>0</v>
      </c>
      <c r="V69" s="25"/>
      <c r="W69" s="25"/>
      <c r="AC69" s="25">
        <f t="shared" si="30"/>
        <v>0</v>
      </c>
      <c r="AE69" s="32">
        <f>(5270.37+516.21+10610.02+45.55+2259.14)*1000</f>
        <v>18701289.999999996</v>
      </c>
      <c r="AG69" s="25">
        <f>AE69/$L69/1000</f>
        <v>0.3778038383838383</v>
      </c>
      <c r="AI69" s="27">
        <f t="shared" si="23"/>
        <v>0.32831050228310504</v>
      </c>
      <c r="AJ69" s="20">
        <f>4314000*K69</f>
        <v>142362000</v>
      </c>
      <c r="AL69" s="13">
        <v>20</v>
      </c>
      <c r="AM69" s="20">
        <f>AJ69*AL69</f>
        <v>2847240000</v>
      </c>
      <c r="AN69" s="20">
        <f t="shared" si="24"/>
        <v>57520000</v>
      </c>
      <c r="AS69" s="25">
        <f t="shared" si="34"/>
        <v>0</v>
      </c>
      <c r="AT69" s="25"/>
      <c r="AU69" s="25">
        <f t="shared" si="25"/>
        <v>0</v>
      </c>
      <c r="AW69" s="6"/>
      <c r="AX69" s="29">
        <f t="shared" si="26"/>
        <v>6.5682169399137393</v>
      </c>
      <c r="AY69" s="25"/>
      <c r="AZ69" s="6"/>
    </row>
    <row r="70" spans="1:53">
      <c r="A70" s="17" t="str">
        <f t="shared" si="31"/>
        <v>\cite{Wang2018}</v>
      </c>
      <c r="B70" s="13" t="s">
        <v>26</v>
      </c>
      <c r="C70" s="13">
        <v>2018</v>
      </c>
      <c r="E70" s="13">
        <f t="shared" si="32"/>
        <v>2018</v>
      </c>
      <c r="F70" s="12">
        <f>LOOKUP(E70,Total_wind_installed_capacity!$A$3:$A$34,Total_wind_installed_capacity!$H$3:$H$34)</f>
        <v>580.40440000000001</v>
      </c>
      <c r="G70" s="18" t="s">
        <v>27</v>
      </c>
      <c r="H70" s="13" t="s">
        <v>33</v>
      </c>
      <c r="I70" s="18" t="s">
        <v>19</v>
      </c>
      <c r="J70" s="19"/>
      <c r="N70" s="13" t="s">
        <v>24</v>
      </c>
      <c r="T70" s="23">
        <f t="shared" si="33"/>
        <v>0</v>
      </c>
      <c r="U70" s="23">
        <f t="shared" si="33"/>
        <v>0</v>
      </c>
      <c r="V70" s="25"/>
      <c r="W70" s="25"/>
      <c r="AC70" s="25" t="e">
        <f t="shared" si="30"/>
        <v>#DIV/0!</v>
      </c>
      <c r="AE70" s="32"/>
      <c r="AG70" s="25">
        <v>0</v>
      </c>
      <c r="AJ70" s="20"/>
      <c r="AS70" s="25" t="e">
        <f t="shared" si="34"/>
        <v>#DIV/0!</v>
      </c>
      <c r="AT70" s="25"/>
      <c r="AU70" s="25" t="e">
        <f t="shared" si="25"/>
        <v>#DIV/0!</v>
      </c>
      <c r="AW70" s="6"/>
      <c r="AX70" s="29">
        <v>30.567240000000002</v>
      </c>
      <c r="AY70" s="25"/>
      <c r="AZ70" s="6"/>
      <c r="BA70" s="18" t="s">
        <v>113</v>
      </c>
    </row>
    <row r="71" spans="1:53">
      <c r="A71" s="17" t="str">
        <f t="shared" si="31"/>
        <v>\cite{Wang2018}</v>
      </c>
      <c r="B71" s="13" t="s">
        <v>26</v>
      </c>
      <c r="C71" s="13">
        <v>2018</v>
      </c>
      <c r="E71" s="13">
        <f t="shared" si="32"/>
        <v>2018</v>
      </c>
      <c r="F71" s="12">
        <f>LOOKUP(E71,Total_wind_installed_capacity!$A$3:$A$34,Total_wind_installed_capacity!$H$3:$H$34)</f>
        <v>580.40440000000001</v>
      </c>
      <c r="G71" s="18" t="s">
        <v>27</v>
      </c>
      <c r="H71" s="13" t="s">
        <v>33</v>
      </c>
      <c r="I71" s="18" t="s">
        <v>19</v>
      </c>
      <c r="J71" s="19"/>
      <c r="N71" s="13" t="s">
        <v>24</v>
      </c>
      <c r="T71" s="23">
        <f t="shared" si="33"/>
        <v>0</v>
      </c>
      <c r="U71" s="23">
        <f t="shared" si="33"/>
        <v>0</v>
      </c>
      <c r="V71" s="25"/>
      <c r="W71" s="25"/>
      <c r="AC71" s="25" t="e">
        <f t="shared" si="30"/>
        <v>#DIV/0!</v>
      </c>
      <c r="AE71" s="32"/>
      <c r="AG71" s="25">
        <v>0</v>
      </c>
      <c r="AJ71" s="20"/>
      <c r="AS71" s="25" t="e">
        <f t="shared" si="34"/>
        <v>#DIV/0!</v>
      </c>
      <c r="AT71" s="25"/>
      <c r="AU71" s="25" t="e">
        <f t="shared" si="25"/>
        <v>#DIV/0!</v>
      </c>
      <c r="AW71" s="6"/>
      <c r="AX71" s="29">
        <v>25.678709999999999</v>
      </c>
      <c r="AY71" s="25"/>
      <c r="AZ71" s="6"/>
      <c r="BA71" s="18" t="s">
        <v>114</v>
      </c>
    </row>
    <row r="72" spans="1:53">
      <c r="A72" s="17" t="str">
        <f t="shared" si="31"/>
        <v>\cite{Wang2018}</v>
      </c>
      <c r="B72" s="13" t="s">
        <v>26</v>
      </c>
      <c r="C72" s="13">
        <v>2018</v>
      </c>
      <c r="E72" s="13">
        <f t="shared" si="32"/>
        <v>2018</v>
      </c>
      <c r="F72" s="12">
        <f>LOOKUP(E72,Total_wind_installed_capacity!$A$3:$A$34,Total_wind_installed_capacity!$H$3:$H$34)</f>
        <v>580.40440000000001</v>
      </c>
      <c r="G72" s="18" t="s">
        <v>27</v>
      </c>
      <c r="H72" s="13" t="s">
        <v>33</v>
      </c>
      <c r="I72" s="18" t="s">
        <v>19</v>
      </c>
      <c r="J72" s="19"/>
      <c r="N72" s="13" t="s">
        <v>24</v>
      </c>
      <c r="T72" s="23">
        <f t="shared" si="33"/>
        <v>0</v>
      </c>
      <c r="U72" s="23">
        <f t="shared" si="33"/>
        <v>0</v>
      </c>
      <c r="V72" s="25"/>
      <c r="W72" s="25"/>
      <c r="AC72" s="25" t="e">
        <f t="shared" si="30"/>
        <v>#DIV/0!</v>
      </c>
      <c r="AE72" s="32"/>
      <c r="AG72" s="25">
        <v>0</v>
      </c>
      <c r="AJ72" s="20"/>
      <c r="AS72" s="25" t="e">
        <f t="shared" si="34"/>
        <v>#DIV/0!</v>
      </c>
      <c r="AT72" s="25"/>
      <c r="AU72" s="25" t="e">
        <f t="shared" si="25"/>
        <v>#DIV/0!</v>
      </c>
      <c r="AW72" s="6"/>
      <c r="AX72" s="29">
        <v>22.52018</v>
      </c>
      <c r="AY72" s="25"/>
      <c r="AZ72" s="6"/>
      <c r="BA72" s="18" t="s">
        <v>115</v>
      </c>
    </row>
    <row r="73" spans="1:53">
      <c r="A73" s="17" t="str">
        <f t="shared" si="31"/>
        <v>\cite{Wang2018}</v>
      </c>
      <c r="B73" s="13" t="s">
        <v>26</v>
      </c>
      <c r="C73" s="13">
        <v>2018</v>
      </c>
      <c r="E73" s="13">
        <f t="shared" si="32"/>
        <v>2018</v>
      </c>
      <c r="F73" s="12">
        <f>LOOKUP(E73,Total_wind_installed_capacity!$A$3:$A$34,Total_wind_installed_capacity!$H$3:$H$34)</f>
        <v>580.40440000000001</v>
      </c>
      <c r="G73" s="18" t="s">
        <v>27</v>
      </c>
      <c r="H73" s="13" t="s">
        <v>33</v>
      </c>
      <c r="I73" s="18" t="s">
        <v>19</v>
      </c>
      <c r="J73" s="19"/>
      <c r="N73" s="13" t="s">
        <v>24</v>
      </c>
      <c r="T73" s="23">
        <f t="shared" si="33"/>
        <v>0</v>
      </c>
      <c r="U73" s="23">
        <f t="shared" si="33"/>
        <v>0</v>
      </c>
      <c r="V73" s="25"/>
      <c r="W73" s="25"/>
      <c r="AC73" s="25" t="e">
        <f t="shared" si="30"/>
        <v>#DIV/0!</v>
      </c>
      <c r="AE73" s="32"/>
      <c r="AG73" s="25">
        <v>0</v>
      </c>
      <c r="AJ73" s="20"/>
      <c r="AS73" s="25" t="e">
        <f t="shared" si="34"/>
        <v>#DIV/0!</v>
      </c>
      <c r="AT73" s="25"/>
      <c r="AU73" s="25" t="e">
        <f t="shared" si="25"/>
        <v>#DIV/0!</v>
      </c>
      <c r="AW73" s="6"/>
      <c r="AX73" s="29">
        <v>19.661660000000001</v>
      </c>
      <c r="AY73" s="25"/>
      <c r="AZ73" s="6"/>
      <c r="BA73" s="18" t="s">
        <v>116</v>
      </c>
    </row>
    <row r="74" spans="1:53">
      <c r="A74" s="17" t="str">
        <f t="shared" si="31"/>
        <v>\cite{Wang2018}</v>
      </c>
      <c r="B74" s="13" t="s">
        <v>26</v>
      </c>
      <c r="C74" s="13">
        <v>2018</v>
      </c>
      <c r="E74" s="13">
        <f t="shared" si="32"/>
        <v>2018</v>
      </c>
      <c r="F74" s="12">
        <f>LOOKUP(E74,Total_wind_installed_capacity!$A$3:$A$34,Total_wind_installed_capacity!$H$3:$H$34)</f>
        <v>580.40440000000001</v>
      </c>
      <c r="G74" s="18" t="s">
        <v>27</v>
      </c>
      <c r="H74" s="13" t="s">
        <v>33</v>
      </c>
      <c r="I74" s="18" t="s">
        <v>19</v>
      </c>
      <c r="J74" s="19"/>
      <c r="N74" s="13" t="s">
        <v>24</v>
      </c>
      <c r="T74" s="23">
        <f t="shared" si="33"/>
        <v>0</v>
      </c>
      <c r="U74" s="23">
        <f t="shared" si="33"/>
        <v>0</v>
      </c>
      <c r="V74" s="25"/>
      <c r="W74" s="25"/>
      <c r="AC74" s="25" t="e">
        <f t="shared" si="30"/>
        <v>#DIV/0!</v>
      </c>
      <c r="AE74" s="32"/>
      <c r="AG74" s="25">
        <v>0</v>
      </c>
      <c r="AJ74" s="20"/>
      <c r="AS74" s="25" t="e">
        <f t="shared" si="34"/>
        <v>#DIV/0!</v>
      </c>
      <c r="AT74" s="25"/>
      <c r="AU74" s="25" t="e">
        <f t="shared" si="25"/>
        <v>#DIV/0!</v>
      </c>
      <c r="AW74" s="6"/>
      <c r="AX74" s="29">
        <v>16.803129999999999</v>
      </c>
      <c r="AY74" s="25"/>
      <c r="AZ74" s="6"/>
      <c r="BA74" s="18" t="s">
        <v>117</v>
      </c>
    </row>
    <row r="75" spans="1:53">
      <c r="A75" s="17" t="str">
        <f t="shared" si="31"/>
        <v>\cite{Siddiqui2017}</v>
      </c>
      <c r="B75" s="13" t="s">
        <v>118</v>
      </c>
      <c r="C75" s="13">
        <v>2017</v>
      </c>
      <c r="E75" s="13">
        <f t="shared" si="32"/>
        <v>2017</v>
      </c>
      <c r="F75" s="12">
        <f>LOOKUP(E75,Total_wind_installed_capacity!$A$3:$A$34,Total_wind_installed_capacity!$H$3:$H$34)</f>
        <v>530.78719999999998</v>
      </c>
      <c r="G75" s="18" t="s">
        <v>27</v>
      </c>
      <c r="H75" s="13" t="s">
        <v>33</v>
      </c>
      <c r="I75" s="18" t="s">
        <v>119</v>
      </c>
      <c r="J75" s="19">
        <f>L75/K75*1000</f>
        <v>1894.4396177237186</v>
      </c>
      <c r="K75" s="13">
        <v>2302</v>
      </c>
      <c r="L75" s="13">
        <v>4361</v>
      </c>
      <c r="M75" s="21" t="s">
        <v>120</v>
      </c>
      <c r="N75" s="13" t="s">
        <v>24</v>
      </c>
      <c r="T75" s="23">
        <f t="shared" si="33"/>
        <v>0</v>
      </c>
      <c r="U75" s="23">
        <f t="shared" si="33"/>
        <v>0</v>
      </c>
      <c r="V75" s="25"/>
      <c r="W75" s="25"/>
      <c r="AC75" s="25" t="e">
        <f t="shared" si="30"/>
        <v>#DIV/0!</v>
      </c>
      <c r="AE75" s="32"/>
      <c r="AG75" s="25">
        <v>0</v>
      </c>
      <c r="AJ75" s="20"/>
      <c r="AS75" s="25" t="e">
        <f t="shared" si="34"/>
        <v>#DIV/0!</v>
      </c>
      <c r="AT75" s="25"/>
      <c r="AU75" s="25" t="e">
        <f t="shared" si="25"/>
        <v>#DIV/0!</v>
      </c>
      <c r="AW75" s="6"/>
      <c r="AX75" s="29">
        <f>6.19+0.7+0.058+5.1</f>
        <v>12.048</v>
      </c>
      <c r="AY75" s="25"/>
      <c r="AZ75" s="6"/>
    </row>
    <row r="76" spans="1:53">
      <c r="A76" s="17" t="str">
        <f t="shared" si="31"/>
        <v>\cite{Martinez2015}</v>
      </c>
      <c r="B76" s="13" t="s">
        <v>121</v>
      </c>
      <c r="C76" s="13">
        <v>2015</v>
      </c>
      <c r="E76" s="13">
        <f t="shared" si="32"/>
        <v>2015</v>
      </c>
      <c r="F76" s="12">
        <f>LOOKUP(E76,Total_wind_installed_capacity!$A$3:$A$34,Total_wind_installed_capacity!$H$3:$H$34)</f>
        <v>427.65899999999999</v>
      </c>
      <c r="G76" s="18" t="s">
        <v>27</v>
      </c>
      <c r="H76" s="13" t="s">
        <v>33</v>
      </c>
      <c r="J76" s="19">
        <v>2000</v>
      </c>
      <c r="K76" s="13">
        <v>1</v>
      </c>
      <c r="L76" s="20">
        <f t="shared" ref="L76:L97" si="35">K76*J76</f>
        <v>2000</v>
      </c>
      <c r="M76" s="21" t="s">
        <v>122</v>
      </c>
      <c r="N76" s="13" t="s">
        <v>24</v>
      </c>
      <c r="O76" s="13">
        <v>80</v>
      </c>
      <c r="P76" s="13">
        <v>70</v>
      </c>
      <c r="T76" s="23">
        <f t="shared" si="33"/>
        <v>0</v>
      </c>
      <c r="U76" s="23">
        <f t="shared" si="33"/>
        <v>0</v>
      </c>
      <c r="V76" s="25"/>
      <c r="W76" s="25"/>
      <c r="AC76" s="25">
        <f t="shared" si="30"/>
        <v>0</v>
      </c>
      <c r="AE76" s="32">
        <f>518000</f>
        <v>518000</v>
      </c>
      <c r="AG76" s="25">
        <f t="shared" ref="AG76:AG81" si="36">AE76/$L76/1000</f>
        <v>0.25900000000000001</v>
      </c>
      <c r="AI76" s="27">
        <f t="shared" ref="AI76:AI82" si="37">AJ76/L76/8760</f>
        <v>0.22831050228310501</v>
      </c>
      <c r="AJ76" s="20">
        <f>4000000</f>
        <v>4000000</v>
      </c>
      <c r="AL76" s="13">
        <v>20</v>
      </c>
      <c r="AM76" s="20">
        <f>AJ76*AL76</f>
        <v>80000000</v>
      </c>
      <c r="AN76" s="20">
        <f t="shared" ref="AN76:AN82" si="38">AM76/L76*1000</f>
        <v>40000000</v>
      </c>
      <c r="AS76" s="25">
        <f t="shared" si="34"/>
        <v>0</v>
      </c>
      <c r="AT76" s="25"/>
      <c r="AU76" s="25">
        <f t="shared" si="25"/>
        <v>0</v>
      </c>
      <c r="AW76" s="6"/>
      <c r="AX76" s="29">
        <f t="shared" ref="AX76:AX82" si="39">AE76*1000/AM76</f>
        <v>6.4749999999999996</v>
      </c>
      <c r="AY76" s="25"/>
      <c r="AZ76" s="6"/>
      <c r="BA76" s="18" t="s">
        <v>123</v>
      </c>
    </row>
    <row r="77" spans="1:53">
      <c r="A77" s="17" t="str">
        <f t="shared" si="31"/>
        <v>\cite{Martinez2015}</v>
      </c>
      <c r="B77" s="13" t="s">
        <v>121</v>
      </c>
      <c r="C77" s="13">
        <v>2015</v>
      </c>
      <c r="E77" s="13">
        <f t="shared" si="32"/>
        <v>2015</v>
      </c>
      <c r="F77" s="12">
        <f>LOOKUP(E77,Total_wind_installed_capacity!$A$3:$A$34,Total_wind_installed_capacity!$H$3:$H$34)</f>
        <v>427.65899999999999</v>
      </c>
      <c r="G77" s="18" t="s">
        <v>27</v>
      </c>
      <c r="H77" s="13" t="s">
        <v>33</v>
      </c>
      <c r="J77" s="19">
        <v>2000</v>
      </c>
      <c r="K77" s="13">
        <v>1</v>
      </c>
      <c r="L77" s="20">
        <f t="shared" si="35"/>
        <v>2000</v>
      </c>
      <c r="M77" s="21" t="s">
        <v>122</v>
      </c>
      <c r="N77" s="13" t="s">
        <v>24</v>
      </c>
      <c r="O77" s="13">
        <v>80</v>
      </c>
      <c r="P77" s="13">
        <v>70</v>
      </c>
      <c r="R77" s="22">
        <f>8060000</f>
        <v>8060000</v>
      </c>
      <c r="T77" s="23">
        <f t="shared" si="33"/>
        <v>2238888.888888889</v>
      </c>
      <c r="U77" s="23">
        <f t="shared" si="33"/>
        <v>0</v>
      </c>
      <c r="V77" s="6">
        <f>R77/$L77/1000</f>
        <v>4.03</v>
      </c>
      <c r="W77" s="25"/>
      <c r="X77" s="6">
        <f>V77/3.6</f>
        <v>1.1194444444444445</v>
      </c>
      <c r="Y77" s="6"/>
      <c r="AA77" s="24">
        <f>R77/3.6/100*IF(Z77&gt;0,Z77,30)</f>
        <v>671666.66666666674</v>
      </c>
      <c r="AC77" s="25">
        <f t="shared" si="30"/>
        <v>8.395833333333335E-3</v>
      </c>
      <c r="AE77" s="32">
        <f>520000000/1000</f>
        <v>520000</v>
      </c>
      <c r="AG77" s="25">
        <f t="shared" si="36"/>
        <v>0.26</v>
      </c>
      <c r="AI77" s="27">
        <f t="shared" si="37"/>
        <v>0.22831050228310501</v>
      </c>
      <c r="AJ77" s="20">
        <f t="shared" ref="AJ77:AJ80" si="40">4000000</f>
        <v>4000000</v>
      </c>
      <c r="AL77" s="13">
        <v>20</v>
      </c>
      <c r="AM77" s="20">
        <f t="shared" ref="AM77:AM80" si="41">AJ77*AL77</f>
        <v>80000000</v>
      </c>
      <c r="AN77" s="20">
        <f t="shared" si="38"/>
        <v>40000000</v>
      </c>
      <c r="AS77" s="25">
        <f t="shared" si="34"/>
        <v>0.10075000000000001</v>
      </c>
      <c r="AT77" s="25"/>
      <c r="AU77" s="25">
        <f t="shared" si="25"/>
        <v>2.7986111111111111E-2</v>
      </c>
      <c r="AW77" s="6"/>
      <c r="AX77" s="29">
        <f t="shared" si="39"/>
        <v>6.5</v>
      </c>
      <c r="AY77" s="25"/>
      <c r="AZ77" s="6"/>
      <c r="BA77" s="18" t="s">
        <v>124</v>
      </c>
    </row>
    <row r="78" spans="1:53">
      <c r="A78" s="17" t="str">
        <f t="shared" si="31"/>
        <v>\cite{Martinez2015}</v>
      </c>
      <c r="B78" s="13" t="s">
        <v>121</v>
      </c>
      <c r="C78" s="13">
        <v>2015</v>
      </c>
      <c r="E78" s="13">
        <f t="shared" si="32"/>
        <v>2015</v>
      </c>
      <c r="F78" s="12">
        <f>LOOKUP(E78,Total_wind_installed_capacity!$A$3:$A$34,Total_wind_installed_capacity!$H$3:$H$34)</f>
        <v>427.65899999999999</v>
      </c>
      <c r="G78" s="18" t="s">
        <v>27</v>
      </c>
      <c r="H78" s="13" t="s">
        <v>33</v>
      </c>
      <c r="J78" s="19">
        <v>2000</v>
      </c>
      <c r="K78" s="13">
        <v>1</v>
      </c>
      <c r="L78" s="20">
        <f t="shared" si="35"/>
        <v>2000</v>
      </c>
      <c r="M78" s="21" t="s">
        <v>122</v>
      </c>
      <c r="N78" s="13" t="s">
        <v>24</v>
      </c>
      <c r="O78" s="13">
        <v>80</v>
      </c>
      <c r="P78" s="13">
        <v>70</v>
      </c>
      <c r="T78" s="23">
        <f t="shared" si="33"/>
        <v>0</v>
      </c>
      <c r="U78" s="23">
        <f t="shared" si="33"/>
        <v>0</v>
      </c>
      <c r="V78" s="25"/>
      <c r="W78" s="25"/>
      <c r="AC78" s="25">
        <f t="shared" si="30"/>
        <v>0</v>
      </c>
      <c r="AE78" s="32">
        <f>523000000/1000</f>
        <v>523000</v>
      </c>
      <c r="AG78" s="25">
        <f t="shared" si="36"/>
        <v>0.26150000000000001</v>
      </c>
      <c r="AI78" s="27">
        <f t="shared" si="37"/>
        <v>0.22831050228310501</v>
      </c>
      <c r="AJ78" s="20">
        <f t="shared" si="40"/>
        <v>4000000</v>
      </c>
      <c r="AL78" s="13">
        <v>20</v>
      </c>
      <c r="AM78" s="20">
        <f>AJ78*AL78</f>
        <v>80000000</v>
      </c>
      <c r="AN78" s="20">
        <f t="shared" si="38"/>
        <v>40000000</v>
      </c>
      <c r="AS78" s="25">
        <f t="shared" si="34"/>
        <v>0</v>
      </c>
      <c r="AT78" s="25"/>
      <c r="AU78" s="25">
        <f t="shared" si="25"/>
        <v>0</v>
      </c>
      <c r="AW78" s="6"/>
      <c r="AX78" s="29">
        <f t="shared" si="39"/>
        <v>6.5374999999999996</v>
      </c>
      <c r="AY78" s="25"/>
      <c r="AZ78" s="6"/>
      <c r="BA78" s="18" t="s">
        <v>125</v>
      </c>
    </row>
    <row r="79" spans="1:53">
      <c r="A79" s="17" t="str">
        <f t="shared" si="31"/>
        <v>\cite{Martinez2015}</v>
      </c>
      <c r="B79" s="13" t="s">
        <v>121</v>
      </c>
      <c r="C79" s="13">
        <v>2015</v>
      </c>
      <c r="E79" s="13">
        <f t="shared" si="32"/>
        <v>2015</v>
      </c>
      <c r="F79" s="12">
        <f>LOOKUP(E79,Total_wind_installed_capacity!$A$3:$A$34,Total_wind_installed_capacity!$H$3:$H$34)</f>
        <v>427.65899999999999</v>
      </c>
      <c r="G79" s="18" t="s">
        <v>27</v>
      </c>
      <c r="H79" s="13" t="s">
        <v>33</v>
      </c>
      <c r="J79" s="19">
        <v>2000</v>
      </c>
      <c r="K79" s="13">
        <v>1</v>
      </c>
      <c r="L79" s="20">
        <f t="shared" si="35"/>
        <v>2000</v>
      </c>
      <c r="M79" s="21" t="s">
        <v>122</v>
      </c>
      <c r="N79" s="13" t="s">
        <v>24</v>
      </c>
      <c r="O79" s="13">
        <v>80</v>
      </c>
      <c r="P79" s="13">
        <v>70</v>
      </c>
      <c r="T79" s="23">
        <f t="shared" si="33"/>
        <v>0</v>
      </c>
      <c r="U79" s="23">
        <f t="shared" si="33"/>
        <v>0</v>
      </c>
      <c r="V79" s="25"/>
      <c r="W79" s="25"/>
      <c r="AC79" s="25">
        <f t="shared" si="30"/>
        <v>0</v>
      </c>
      <c r="AE79" s="32">
        <f>496000</f>
        <v>496000</v>
      </c>
      <c r="AG79" s="25">
        <f t="shared" si="36"/>
        <v>0.248</v>
      </c>
      <c r="AI79" s="27">
        <f t="shared" si="37"/>
        <v>0.22831050228310501</v>
      </c>
      <c r="AJ79" s="20">
        <f t="shared" si="40"/>
        <v>4000000</v>
      </c>
      <c r="AL79" s="13">
        <v>20</v>
      </c>
      <c r="AM79" s="20">
        <f t="shared" si="41"/>
        <v>80000000</v>
      </c>
      <c r="AN79" s="20">
        <f t="shared" si="38"/>
        <v>40000000</v>
      </c>
      <c r="AS79" s="25">
        <f t="shared" si="34"/>
        <v>0</v>
      </c>
      <c r="AT79" s="25"/>
      <c r="AU79" s="25">
        <f t="shared" si="25"/>
        <v>0</v>
      </c>
      <c r="AW79" s="6"/>
      <c r="AX79" s="29">
        <f t="shared" si="39"/>
        <v>6.2</v>
      </c>
      <c r="AY79" s="25"/>
      <c r="AZ79" s="6"/>
      <c r="BA79" s="18" t="s">
        <v>126</v>
      </c>
    </row>
    <row r="80" spans="1:53" s="35" customFormat="1">
      <c r="A80" s="17" t="str">
        <f t="shared" si="31"/>
        <v>\cite{Martinez2015}</v>
      </c>
      <c r="B80" s="35" t="s">
        <v>121</v>
      </c>
      <c r="C80" s="35">
        <v>2015</v>
      </c>
      <c r="E80" s="13">
        <f t="shared" si="32"/>
        <v>2015</v>
      </c>
      <c r="F80" s="12">
        <f>LOOKUP(E80,Total_wind_installed_capacity!$A$3:$A$34,Total_wind_installed_capacity!$H$3:$H$34)</f>
        <v>427.65899999999999</v>
      </c>
      <c r="G80" s="36" t="s">
        <v>27</v>
      </c>
      <c r="H80" s="35" t="s">
        <v>33</v>
      </c>
      <c r="I80" s="36"/>
      <c r="J80" s="37">
        <v>2000</v>
      </c>
      <c r="K80" s="35">
        <v>1</v>
      </c>
      <c r="L80" s="37">
        <f t="shared" si="35"/>
        <v>2000</v>
      </c>
      <c r="M80" s="38" t="s">
        <v>122</v>
      </c>
      <c r="N80" s="35" t="s">
        <v>24</v>
      </c>
      <c r="O80" s="35">
        <v>80</v>
      </c>
      <c r="P80" s="35">
        <v>70</v>
      </c>
      <c r="R80" s="39"/>
      <c r="T80" s="40">
        <f t="shared" si="33"/>
        <v>0</v>
      </c>
      <c r="U80" s="40">
        <f t="shared" si="33"/>
        <v>0</v>
      </c>
      <c r="V80" s="41"/>
      <c r="W80" s="41"/>
      <c r="AC80" s="25">
        <f t="shared" si="30"/>
        <v>0</v>
      </c>
      <c r="AE80" s="42">
        <f>19400</f>
        <v>19400</v>
      </c>
      <c r="AG80" s="41">
        <f t="shared" si="36"/>
        <v>9.6999999999999986E-3</v>
      </c>
      <c r="AI80" s="43">
        <f t="shared" si="37"/>
        <v>0.22831050228310501</v>
      </c>
      <c r="AJ80" s="37">
        <f t="shared" si="40"/>
        <v>4000000</v>
      </c>
      <c r="AK80" s="44"/>
      <c r="AL80" s="35">
        <v>20</v>
      </c>
      <c r="AM80" s="37">
        <f t="shared" si="41"/>
        <v>80000000</v>
      </c>
      <c r="AN80" s="37">
        <f t="shared" si="38"/>
        <v>40000000</v>
      </c>
      <c r="AO80" s="36"/>
      <c r="AS80" s="25">
        <f t="shared" si="34"/>
        <v>0</v>
      </c>
      <c r="AT80" s="25"/>
      <c r="AU80" s="25">
        <f t="shared" si="25"/>
        <v>0</v>
      </c>
      <c r="AW80" s="45"/>
      <c r="AX80" s="46">
        <f t="shared" si="39"/>
        <v>0.24249999999999999</v>
      </c>
      <c r="AY80" s="25"/>
      <c r="AZ80" s="45"/>
      <c r="BA80" s="36" t="s">
        <v>127</v>
      </c>
    </row>
    <row r="81" spans="1:53">
      <c r="A81" s="17" t="str">
        <f t="shared" si="31"/>
        <v>\cite{Fleck2009}</v>
      </c>
      <c r="B81" s="13" t="s">
        <v>128</v>
      </c>
      <c r="C81" s="13">
        <v>2009</v>
      </c>
      <c r="E81" s="13">
        <f t="shared" si="32"/>
        <v>2009</v>
      </c>
      <c r="F81" s="12">
        <f>LOOKUP(E81,Total_wind_installed_capacity!$A$3:$A$34,Total_wind_installed_capacity!$H$3:$H$34)</f>
        <v>151.3704745</v>
      </c>
      <c r="G81" s="18" t="s">
        <v>27</v>
      </c>
      <c r="H81" s="13" t="s">
        <v>33</v>
      </c>
      <c r="J81" s="47">
        <v>0.4</v>
      </c>
      <c r="K81" s="23">
        <f>ROUND(4400/876.3,1)</f>
        <v>5</v>
      </c>
      <c r="L81" s="48">
        <f t="shared" si="35"/>
        <v>2</v>
      </c>
      <c r="M81" s="21" t="s">
        <v>129</v>
      </c>
      <c r="N81" s="13" t="s">
        <v>24</v>
      </c>
      <c r="O81" s="13">
        <v>1.17</v>
      </c>
      <c r="P81" s="13">
        <v>30</v>
      </c>
      <c r="T81" s="23">
        <f t="shared" si="33"/>
        <v>0</v>
      </c>
      <c r="U81" s="23">
        <f t="shared" si="33"/>
        <v>0</v>
      </c>
      <c r="V81" s="25"/>
      <c r="W81" s="25"/>
      <c r="AA81" s="24">
        <f>3391+14138+4701+479+40+28950+4032+736</f>
        <v>56467</v>
      </c>
      <c r="AC81" s="25">
        <f t="shared" si="30"/>
        <v>0.99904460289096086</v>
      </c>
      <c r="AE81" s="32">
        <f>884+89+7+1869+1425+270+4534</f>
        <v>9078</v>
      </c>
      <c r="AG81" s="25">
        <f t="shared" si="36"/>
        <v>4.5389999999999997</v>
      </c>
      <c r="AI81" s="27">
        <f t="shared" si="37"/>
        <v>0.16130422374429224</v>
      </c>
      <c r="AJ81" s="20">
        <f>AM81/AL81</f>
        <v>2826.05</v>
      </c>
      <c r="AL81" s="13">
        <v>20</v>
      </c>
      <c r="AM81" s="20">
        <v>56521</v>
      </c>
      <c r="AN81" s="20">
        <f t="shared" si="38"/>
        <v>28260500</v>
      </c>
      <c r="AS81" s="25">
        <f t="shared" si="34"/>
        <v>0</v>
      </c>
      <c r="AT81" s="25"/>
      <c r="AU81" s="25">
        <f t="shared" si="25"/>
        <v>0</v>
      </c>
      <c r="AW81" s="6"/>
      <c r="AX81" s="29">
        <f t="shared" si="39"/>
        <v>160.61286955290953</v>
      </c>
      <c r="AY81" s="25"/>
      <c r="AZ81" s="6"/>
      <c r="BA81" s="18" t="s">
        <v>130</v>
      </c>
    </row>
    <row r="82" spans="1:53">
      <c r="A82" s="17" t="str">
        <f t="shared" si="31"/>
        <v>\cite{Fleck2009}</v>
      </c>
      <c r="B82" s="13" t="s">
        <v>128</v>
      </c>
      <c r="C82" s="13">
        <v>2009</v>
      </c>
      <c r="E82" s="13">
        <f t="shared" si="32"/>
        <v>2009</v>
      </c>
      <c r="F82" s="12">
        <f>LOOKUP(E82,Total_wind_installed_capacity!$A$3:$A$34,Total_wind_installed_capacity!$H$3:$H$34)</f>
        <v>151.3704745</v>
      </c>
      <c r="G82" s="18" t="s">
        <v>27</v>
      </c>
      <c r="H82" s="13" t="s">
        <v>33</v>
      </c>
      <c r="J82" s="47">
        <v>0.4</v>
      </c>
      <c r="K82" s="23">
        <f>ROUND(4400/876.3,1)</f>
        <v>5</v>
      </c>
      <c r="L82" s="48">
        <f t="shared" si="35"/>
        <v>2</v>
      </c>
      <c r="M82" s="21" t="s">
        <v>129</v>
      </c>
      <c r="N82" s="13" t="s">
        <v>24</v>
      </c>
      <c r="O82" s="13">
        <v>1.17</v>
      </c>
      <c r="P82" s="13">
        <v>30</v>
      </c>
      <c r="T82" s="23">
        <f t="shared" si="33"/>
        <v>0</v>
      </c>
      <c r="U82" s="23">
        <f t="shared" si="33"/>
        <v>0</v>
      </c>
      <c r="V82" s="25"/>
      <c r="W82" s="25"/>
      <c r="AA82" s="24">
        <f>3391+14138+479+40+4032+736</f>
        <v>22816</v>
      </c>
      <c r="AC82" s="25">
        <f t="shared" si="30"/>
        <v>0.4036729711080837</v>
      </c>
      <c r="AE82" s="32">
        <f>89+7+1425+270+4534</f>
        <v>6325</v>
      </c>
      <c r="AG82" s="25">
        <f>AE82/$L82/1000</f>
        <v>3.1625000000000001</v>
      </c>
      <c r="AI82" s="27">
        <f t="shared" si="37"/>
        <v>0.16130422374429224</v>
      </c>
      <c r="AJ82" s="20">
        <f>AM82/AL82</f>
        <v>2826.05</v>
      </c>
      <c r="AL82" s="13">
        <v>20</v>
      </c>
      <c r="AM82" s="20">
        <v>56521</v>
      </c>
      <c r="AN82" s="20">
        <f t="shared" si="38"/>
        <v>28260500</v>
      </c>
      <c r="AS82" s="25">
        <f t="shared" si="34"/>
        <v>0</v>
      </c>
      <c r="AT82" s="25"/>
      <c r="AU82" s="25">
        <f t="shared" si="25"/>
        <v>0</v>
      </c>
      <c r="AW82" s="6"/>
      <c r="AX82" s="29">
        <f t="shared" si="39"/>
        <v>111.90530953097078</v>
      </c>
      <c r="AY82" s="25"/>
      <c r="AZ82" s="6"/>
      <c r="BA82" s="18" t="s">
        <v>131</v>
      </c>
    </row>
    <row r="83" spans="1:53">
      <c r="A83" s="17" t="str">
        <f t="shared" si="31"/>
        <v>\cite{Smith2015}</v>
      </c>
      <c r="B83" s="13" t="s">
        <v>132</v>
      </c>
      <c r="C83" s="13">
        <v>2015</v>
      </c>
      <c r="E83" s="13">
        <f t="shared" si="32"/>
        <v>2015</v>
      </c>
      <c r="F83" s="12">
        <f>LOOKUP(E83,Total_wind_installed_capacity!$A$3:$A$34,Total_wind_installed_capacity!$H$3:$H$34)</f>
        <v>427.65899999999999</v>
      </c>
      <c r="G83" s="18" t="s">
        <v>27</v>
      </c>
      <c r="H83" s="13" t="s">
        <v>33</v>
      </c>
      <c r="J83" s="19">
        <v>5</v>
      </c>
      <c r="K83" s="13">
        <v>1</v>
      </c>
      <c r="L83" s="48">
        <f t="shared" si="35"/>
        <v>5</v>
      </c>
      <c r="M83" s="21" t="s">
        <v>133</v>
      </c>
      <c r="N83" s="13" t="s">
        <v>24</v>
      </c>
      <c r="T83" s="23">
        <f t="shared" si="33"/>
        <v>0</v>
      </c>
      <c r="U83" s="23">
        <f t="shared" si="33"/>
        <v>0</v>
      </c>
      <c r="V83" s="25"/>
      <c r="W83" s="25"/>
      <c r="AC83" s="25" t="e">
        <f t="shared" si="30"/>
        <v>#DIV/0!</v>
      </c>
      <c r="AE83" s="32">
        <f>54400</f>
        <v>54400</v>
      </c>
      <c r="AG83" s="25">
        <f>AE83/$L83/1000</f>
        <v>10.88</v>
      </c>
      <c r="AS83" s="25" t="e">
        <f t="shared" si="34"/>
        <v>#DIV/0!</v>
      </c>
      <c r="AT83" s="25"/>
      <c r="AU83" s="25" t="e">
        <f t="shared" si="25"/>
        <v>#DIV/0!</v>
      </c>
      <c r="AW83" s="6"/>
      <c r="AY83" s="25"/>
      <c r="AZ83" s="6"/>
    </row>
    <row r="84" spans="1:53">
      <c r="A84" s="17" t="str">
        <f t="shared" si="31"/>
        <v>\cite{Schreiber2019}</v>
      </c>
      <c r="B84" s="13" t="s">
        <v>134</v>
      </c>
      <c r="C84" s="13">
        <v>2019</v>
      </c>
      <c r="E84" s="13">
        <f t="shared" si="32"/>
        <v>2019</v>
      </c>
      <c r="F84" s="12">
        <f>LOOKUP(E84,Total_wind_installed_capacity!$A$3:$A$34,Total_wind_installed_capacity!$H$3:$H$34)</f>
        <v>643.43574999999998</v>
      </c>
      <c r="G84" s="18" t="s">
        <v>27</v>
      </c>
      <c r="H84" s="13" t="s">
        <v>33</v>
      </c>
      <c r="J84" s="19">
        <v>3000</v>
      </c>
      <c r="K84" s="13">
        <v>1</v>
      </c>
      <c r="L84" s="20">
        <f t="shared" si="35"/>
        <v>3000</v>
      </c>
      <c r="M84" s="21" t="s">
        <v>135</v>
      </c>
      <c r="N84" s="13" t="s">
        <v>24</v>
      </c>
      <c r="P84" s="13">
        <v>84</v>
      </c>
      <c r="Q84" s="13" t="s">
        <v>35</v>
      </c>
      <c r="T84" s="23">
        <f t="shared" si="33"/>
        <v>0</v>
      </c>
      <c r="U84" s="23">
        <f t="shared" si="33"/>
        <v>0</v>
      </c>
      <c r="V84" s="25"/>
      <c r="W84" s="25"/>
      <c r="AC84" s="25">
        <f t="shared" si="30"/>
        <v>0</v>
      </c>
      <c r="AE84" s="32">
        <f>AM84*AX84/1000</f>
        <v>1954741.8</v>
      </c>
      <c r="AG84" s="25">
        <f>AE84/$L84/1000</f>
        <v>0.65158059999999995</v>
      </c>
      <c r="AI84" s="27">
        <f>2621/8760</f>
        <v>0.29920091324200915</v>
      </c>
      <c r="AJ84" s="20">
        <f>AI84*8760*L84</f>
        <v>7863000</v>
      </c>
      <c r="AL84" s="13">
        <v>20</v>
      </c>
      <c r="AM84" s="20">
        <f t="shared" ref="AM84:AM86" si="42">AJ84*AL84</f>
        <v>157260000</v>
      </c>
      <c r="AN84" s="20">
        <f>AM84/L84*1000</f>
        <v>52420000</v>
      </c>
      <c r="AS84" s="25">
        <f t="shared" si="34"/>
        <v>0</v>
      </c>
      <c r="AT84" s="25"/>
      <c r="AU84" s="25">
        <f t="shared" si="25"/>
        <v>0</v>
      </c>
      <c r="AW84" s="6"/>
      <c r="AX84" s="18">
        <v>12.43</v>
      </c>
      <c r="AY84" s="25"/>
      <c r="AZ84" s="6"/>
      <c r="BA84" s="18" t="s">
        <v>136</v>
      </c>
    </row>
    <row r="85" spans="1:53">
      <c r="A85" s="17" t="str">
        <f t="shared" si="31"/>
        <v>\cite{Schreiber2019}</v>
      </c>
      <c r="B85" s="13" t="s">
        <v>134</v>
      </c>
      <c r="C85" s="13">
        <v>2019</v>
      </c>
      <c r="E85" s="13">
        <f t="shared" si="32"/>
        <v>2019</v>
      </c>
      <c r="F85" s="12">
        <f>LOOKUP(E85,Total_wind_installed_capacity!$A$3:$A$34,Total_wind_installed_capacity!$H$3:$H$34)</f>
        <v>643.43574999999998</v>
      </c>
      <c r="G85" s="18" t="s">
        <v>27</v>
      </c>
      <c r="H85" s="13" t="s">
        <v>33</v>
      </c>
      <c r="J85" s="19">
        <v>3000</v>
      </c>
      <c r="K85" s="13">
        <v>1</v>
      </c>
      <c r="L85" s="20">
        <f t="shared" si="35"/>
        <v>3000</v>
      </c>
      <c r="M85" s="21" t="s">
        <v>137</v>
      </c>
      <c r="N85" s="13" t="s">
        <v>24</v>
      </c>
      <c r="P85" s="13">
        <v>84</v>
      </c>
      <c r="Q85" s="13" t="s">
        <v>35</v>
      </c>
      <c r="T85" s="23">
        <f t="shared" si="33"/>
        <v>0</v>
      </c>
      <c r="U85" s="23">
        <f t="shared" si="33"/>
        <v>0</v>
      </c>
      <c r="V85" s="25"/>
      <c r="W85" s="25"/>
      <c r="AC85" s="25">
        <f t="shared" si="30"/>
        <v>0</v>
      </c>
      <c r="AE85" s="32">
        <f>AM85*AX85/1000</f>
        <v>1140135</v>
      </c>
      <c r="AG85" s="25">
        <f t="shared" ref="AG85" si="43">AE85/$L85/1000</f>
        <v>0.38004500000000002</v>
      </c>
      <c r="AI85" s="27">
        <f t="shared" ref="AI85:AI86" si="44">2621/8760</f>
        <v>0.29920091324200915</v>
      </c>
      <c r="AJ85" s="20">
        <f>AI85*8760*L85</f>
        <v>7863000</v>
      </c>
      <c r="AL85" s="13">
        <v>20</v>
      </c>
      <c r="AM85" s="20">
        <f t="shared" si="42"/>
        <v>157260000</v>
      </c>
      <c r="AN85" s="20">
        <f>AM85/L85*1000</f>
        <v>52420000</v>
      </c>
      <c r="AS85" s="25">
        <f t="shared" si="34"/>
        <v>0</v>
      </c>
      <c r="AT85" s="25"/>
      <c r="AU85" s="25">
        <f t="shared" si="25"/>
        <v>0</v>
      </c>
      <c r="AW85" s="6"/>
      <c r="AX85" s="18">
        <v>7.25</v>
      </c>
      <c r="AY85" s="25"/>
      <c r="AZ85" s="6"/>
      <c r="BA85" s="18" t="s">
        <v>138</v>
      </c>
    </row>
    <row r="86" spans="1:53">
      <c r="A86" s="17" t="str">
        <f t="shared" si="31"/>
        <v>\cite{Schreiber2019}</v>
      </c>
      <c r="B86" s="13" t="s">
        <v>134</v>
      </c>
      <c r="C86" s="13">
        <v>2019</v>
      </c>
      <c r="E86" s="13">
        <f t="shared" si="32"/>
        <v>2019</v>
      </c>
      <c r="F86" s="12">
        <f>LOOKUP(E86,Total_wind_installed_capacity!$A$3:$A$34,Total_wind_installed_capacity!$H$3:$H$34)</f>
        <v>643.43574999999998</v>
      </c>
      <c r="G86" s="18" t="s">
        <v>27</v>
      </c>
      <c r="H86" s="13" t="s">
        <v>33</v>
      </c>
      <c r="J86" s="19">
        <v>3000</v>
      </c>
      <c r="K86" s="13">
        <v>1</v>
      </c>
      <c r="L86" s="20">
        <f t="shared" si="35"/>
        <v>3000</v>
      </c>
      <c r="M86" s="21" t="s">
        <v>137</v>
      </c>
      <c r="N86" s="13" t="s">
        <v>24</v>
      </c>
      <c r="P86" s="13">
        <v>84</v>
      </c>
      <c r="Q86" s="13" t="s">
        <v>35</v>
      </c>
      <c r="T86" s="23">
        <f t="shared" si="33"/>
        <v>0</v>
      </c>
      <c r="U86" s="23">
        <f t="shared" si="33"/>
        <v>0</v>
      </c>
      <c r="V86" s="25"/>
      <c r="W86" s="25"/>
      <c r="AC86" s="25">
        <f t="shared" si="30"/>
        <v>0</v>
      </c>
      <c r="AE86" s="32">
        <f>AM86*AX86/1000</f>
        <v>1140135</v>
      </c>
      <c r="AG86" s="25">
        <f>AE86/$L86/1000</f>
        <v>0.38004500000000002</v>
      </c>
      <c r="AI86" s="27">
        <f t="shared" si="44"/>
        <v>0.29920091324200915</v>
      </c>
      <c r="AJ86" s="20">
        <f>AI86*8760*L86</f>
        <v>7863000</v>
      </c>
      <c r="AL86" s="13">
        <v>20</v>
      </c>
      <c r="AM86" s="20">
        <f t="shared" si="42"/>
        <v>157260000</v>
      </c>
      <c r="AN86" s="20">
        <f>AM86/L86*1000</f>
        <v>52420000</v>
      </c>
      <c r="AS86" s="25">
        <f t="shared" si="34"/>
        <v>0</v>
      </c>
      <c r="AT86" s="25"/>
      <c r="AU86" s="25">
        <f t="shared" si="25"/>
        <v>0</v>
      </c>
      <c r="AW86" s="6"/>
      <c r="AX86" s="18">
        <v>7.25</v>
      </c>
      <c r="AY86" s="25"/>
      <c r="AZ86" s="6"/>
      <c r="BA86" s="18" t="s">
        <v>139</v>
      </c>
    </row>
    <row r="87" spans="1:53">
      <c r="A87" s="17" t="str">
        <f t="shared" si="31"/>
        <v>\cite{Ding2017}</v>
      </c>
      <c r="B87" s="13" t="s">
        <v>83</v>
      </c>
      <c r="C87" s="13">
        <v>2017</v>
      </c>
      <c r="E87" s="13">
        <f t="shared" si="32"/>
        <v>2017</v>
      </c>
      <c r="F87" s="12">
        <f>LOOKUP(E87,Total_wind_installed_capacity!$A$3:$A$34,Total_wind_installed_capacity!$H$3:$H$34)</f>
        <v>530.78719999999998</v>
      </c>
      <c r="G87" s="18" t="s">
        <v>27</v>
      </c>
      <c r="H87" s="13" t="s">
        <v>33</v>
      </c>
      <c r="I87" s="18" t="s">
        <v>19</v>
      </c>
      <c r="J87" s="19">
        <v>2000</v>
      </c>
      <c r="L87" s="20"/>
      <c r="M87" s="21" t="s">
        <v>140</v>
      </c>
      <c r="N87" s="13" t="s">
        <v>24</v>
      </c>
      <c r="Q87" s="13" t="s">
        <v>20</v>
      </c>
      <c r="R87" s="22">
        <f>AM87*((1.72*20+2.04*45.8)/1000+0.00916*38.29)</f>
        <v>780449346.72000003</v>
      </c>
      <c r="T87" s="23">
        <f t="shared" si="33"/>
        <v>216791485.19999999</v>
      </c>
      <c r="U87" s="23">
        <f t="shared" si="33"/>
        <v>0</v>
      </c>
      <c r="V87" s="25"/>
      <c r="W87" s="25"/>
      <c r="AA87" s="24">
        <f>R87/3.6/100*IF(Z87&gt;0,Z87,30)</f>
        <v>65037445.560000002</v>
      </c>
      <c r="AC87" s="25">
        <f t="shared" si="30"/>
        <v>3.9880699999999998E-2</v>
      </c>
      <c r="AE87" s="32">
        <f>AM87*AX87/1000</f>
        <v>13837338</v>
      </c>
      <c r="AG87" s="25">
        <v>0</v>
      </c>
      <c r="AI87" s="27">
        <f>4500/8760</f>
        <v>0.51369863013698636</v>
      </c>
      <c r="AJ87" s="20">
        <f>81.54*1000000</f>
        <v>81540000</v>
      </c>
      <c r="AL87" s="13">
        <v>20</v>
      </c>
      <c r="AM87" s="20">
        <f>AJ87*AL87</f>
        <v>1630800000</v>
      </c>
      <c r="AS87" s="25">
        <f t="shared" si="34"/>
        <v>0.4785684</v>
      </c>
      <c r="AT87" s="25"/>
      <c r="AU87" s="25">
        <f t="shared" si="25"/>
        <v>0.13293566666666665</v>
      </c>
      <c r="AW87" s="6"/>
      <c r="AX87" s="18">
        <v>8.4849999999999994</v>
      </c>
      <c r="AY87" s="25"/>
      <c r="AZ87" s="6"/>
    </row>
    <row r="88" spans="1:53">
      <c r="A88" s="17" t="str">
        <f t="shared" si="31"/>
        <v>\cite{Gao2021}</v>
      </c>
      <c r="B88" s="13" t="s">
        <v>141</v>
      </c>
      <c r="C88" s="13">
        <v>2021</v>
      </c>
      <c r="E88" s="13">
        <f t="shared" si="32"/>
        <v>2021</v>
      </c>
      <c r="F88" s="12">
        <f>LOOKUP(E88,Total_wind_installed_capacity!$A$3:$A$34,Total_wind_installed_capacity!$H$3:$H$34)</f>
        <v>741.39724999999999</v>
      </c>
      <c r="G88" s="18" t="s">
        <v>27</v>
      </c>
      <c r="H88" s="13" t="s">
        <v>33</v>
      </c>
      <c r="I88" s="18" t="s">
        <v>19</v>
      </c>
      <c r="J88" s="19">
        <v>2000</v>
      </c>
      <c r="K88" s="13">
        <v>15</v>
      </c>
      <c r="L88" s="20">
        <f t="shared" si="35"/>
        <v>30000</v>
      </c>
      <c r="M88" s="21" t="s">
        <v>142</v>
      </c>
      <c r="N88" s="13" t="s">
        <v>24</v>
      </c>
      <c r="Q88" s="13" t="s">
        <v>20</v>
      </c>
      <c r="R88" s="22">
        <f>((484.785+3847.005+0.075+1051.426+0.044)+51.842+(1162.252+453.25)+815.277+81.543)*1000*K88</f>
        <v>119212484.99999997</v>
      </c>
      <c r="T88" s="23">
        <f t="shared" si="33"/>
        <v>33114579.166666657</v>
      </c>
      <c r="U88" s="23">
        <f t="shared" si="33"/>
        <v>0</v>
      </c>
      <c r="V88" s="6">
        <f>R88/$L88/1000</f>
        <v>3.9737494999999989</v>
      </c>
      <c r="W88" s="25"/>
      <c r="X88" s="6">
        <f>V88/3.6</f>
        <v>1.1038193055555552</v>
      </c>
      <c r="Y88" s="6"/>
      <c r="AA88" s="24">
        <f>R88/3.6/100*IF(Z88&gt;0,Z88,30)</f>
        <v>9934373.7499999963</v>
      </c>
      <c r="AC88" s="25">
        <f t="shared" si="30"/>
        <v>8.0153408449113259E-3</v>
      </c>
      <c r="AE88" s="32">
        <f>((381.825+4375.103+69.734+128.442+1.266)*100+384.018+186.844+51547+74403.153+7440.33)*K88</f>
        <v>9443975.1749999989</v>
      </c>
      <c r="AG88" s="25">
        <f>AE88/$L88/1000</f>
        <v>0.31479917249999995</v>
      </c>
      <c r="AI88" s="27">
        <f>AJ88/L88/8760</f>
        <v>0.23581050228310499</v>
      </c>
      <c r="AJ88" s="20">
        <f>AM88/AL88</f>
        <v>61971000</v>
      </c>
      <c r="AL88" s="13">
        <v>20</v>
      </c>
      <c r="AM88" s="20">
        <f>1239420*1000</f>
        <v>1239420000</v>
      </c>
      <c r="AN88" s="20">
        <f t="shared" ref="AN88:AN134" si="45">AM88/L88*1000</f>
        <v>41314000</v>
      </c>
      <c r="AS88" s="25">
        <f t="shared" si="34"/>
        <v>9.6184090138935932E-2</v>
      </c>
      <c r="AT88" s="25"/>
      <c r="AU88" s="25">
        <f t="shared" si="25"/>
        <v>2.6717802816371091E-2</v>
      </c>
      <c r="AW88" s="6"/>
      <c r="AX88" s="49">
        <f>AE88*1000/AM88</f>
        <v>7.6196730527182055</v>
      </c>
      <c r="AY88" s="25"/>
      <c r="AZ88" s="6"/>
    </row>
    <row r="89" spans="1:53">
      <c r="A89" s="17" t="str">
        <f t="shared" si="31"/>
        <v>\cite{Aberilla2020}</v>
      </c>
      <c r="B89" s="13" t="s">
        <v>143</v>
      </c>
      <c r="C89" s="13">
        <v>2020</v>
      </c>
      <c r="E89" s="13">
        <f t="shared" si="32"/>
        <v>2020</v>
      </c>
      <c r="F89" s="12">
        <f>LOOKUP(E89,Total_wind_installed_capacity!$A$3:$A$34,Total_wind_installed_capacity!$H$3:$H$34)</f>
        <v>741.39724999999999</v>
      </c>
      <c r="G89" s="18" t="s">
        <v>27</v>
      </c>
      <c r="H89" s="13" t="s">
        <v>33</v>
      </c>
      <c r="J89" s="19">
        <v>5</v>
      </c>
      <c r="K89" s="13">
        <v>2</v>
      </c>
      <c r="L89" s="20">
        <f t="shared" si="35"/>
        <v>10</v>
      </c>
      <c r="N89" s="13" t="s">
        <v>24</v>
      </c>
      <c r="Q89" s="13" t="s">
        <v>35</v>
      </c>
      <c r="T89" s="23">
        <f t="shared" si="33"/>
        <v>0</v>
      </c>
      <c r="U89" s="23">
        <f t="shared" si="33"/>
        <v>0</v>
      </c>
      <c r="V89" s="25"/>
      <c r="W89" s="25"/>
      <c r="AA89" s="24"/>
      <c r="AC89" s="25">
        <f t="shared" si="30"/>
        <v>0</v>
      </c>
      <c r="AE89" s="32"/>
      <c r="AI89" s="27">
        <v>0.157</v>
      </c>
      <c r="AJ89" s="20">
        <f>AI89*8760*L89</f>
        <v>13753.199999999999</v>
      </c>
      <c r="AL89" s="13">
        <v>20</v>
      </c>
      <c r="AM89" s="20">
        <f t="shared" ref="AM89:AM92" si="46">AJ89*AL89</f>
        <v>275064</v>
      </c>
      <c r="AN89" s="20">
        <f t="shared" si="45"/>
        <v>27506400</v>
      </c>
      <c r="AS89" s="25">
        <f t="shared" si="34"/>
        <v>0</v>
      </c>
      <c r="AT89" s="25"/>
      <c r="AU89" s="25">
        <f t="shared" si="25"/>
        <v>0</v>
      </c>
      <c r="AW89" s="6"/>
      <c r="AX89" s="18">
        <f>47.1*10</f>
        <v>471</v>
      </c>
      <c r="AY89" s="25"/>
      <c r="AZ89" s="6"/>
      <c r="BA89" s="18" t="s">
        <v>144</v>
      </c>
    </row>
    <row r="90" spans="1:53">
      <c r="A90" s="17" t="str">
        <f t="shared" si="31"/>
        <v>\cite{Aberilla2020}</v>
      </c>
      <c r="B90" s="13" t="s">
        <v>143</v>
      </c>
      <c r="C90" s="13">
        <v>2020</v>
      </c>
      <c r="E90" s="13">
        <f t="shared" si="32"/>
        <v>2020</v>
      </c>
      <c r="F90" s="12">
        <f>LOOKUP(E90,Total_wind_installed_capacity!$A$3:$A$34,Total_wind_installed_capacity!$H$3:$H$34)</f>
        <v>741.39724999999999</v>
      </c>
      <c r="G90" s="18" t="s">
        <v>27</v>
      </c>
      <c r="H90" s="13" t="s">
        <v>33</v>
      </c>
      <c r="J90" s="19">
        <v>5</v>
      </c>
      <c r="K90" s="13">
        <v>2</v>
      </c>
      <c r="L90" s="20">
        <f t="shared" si="35"/>
        <v>10</v>
      </c>
      <c r="N90" s="13" t="s">
        <v>24</v>
      </c>
      <c r="Q90" s="13" t="s">
        <v>35</v>
      </c>
      <c r="T90" s="23">
        <f t="shared" si="33"/>
        <v>0</v>
      </c>
      <c r="U90" s="23">
        <f t="shared" si="33"/>
        <v>0</v>
      </c>
      <c r="V90" s="25"/>
      <c r="W90" s="25"/>
      <c r="AA90" s="24"/>
      <c r="AC90" s="25">
        <f t="shared" si="30"/>
        <v>0</v>
      </c>
      <c r="AE90" s="32"/>
      <c r="AI90" s="27">
        <v>0.157</v>
      </c>
      <c r="AJ90" s="20">
        <f>AI90*8760*L90</f>
        <v>13753.199999999999</v>
      </c>
      <c r="AL90" s="13">
        <v>20</v>
      </c>
      <c r="AM90" s="20">
        <f t="shared" si="46"/>
        <v>275064</v>
      </c>
      <c r="AN90" s="20">
        <f t="shared" si="45"/>
        <v>27506400</v>
      </c>
      <c r="AS90" s="25">
        <f t="shared" si="34"/>
        <v>0</v>
      </c>
      <c r="AT90" s="25"/>
      <c r="AU90" s="25">
        <f t="shared" si="25"/>
        <v>0</v>
      </c>
      <c r="AW90" s="6"/>
      <c r="AX90" s="18">
        <f>43.7*10</f>
        <v>437</v>
      </c>
      <c r="AY90" s="25"/>
      <c r="AZ90" s="6"/>
      <c r="BA90" s="18" t="s">
        <v>145</v>
      </c>
    </row>
    <row r="91" spans="1:53">
      <c r="A91" s="17" t="str">
        <f t="shared" si="31"/>
        <v>\cite{Aberilla2020}</v>
      </c>
      <c r="B91" s="13" t="s">
        <v>143</v>
      </c>
      <c r="C91" s="13">
        <v>2020</v>
      </c>
      <c r="E91" s="13">
        <f t="shared" si="32"/>
        <v>2020</v>
      </c>
      <c r="F91" s="12">
        <f>LOOKUP(E91,Total_wind_installed_capacity!$A$3:$A$34,Total_wind_installed_capacity!$H$3:$H$34)</f>
        <v>741.39724999999999</v>
      </c>
      <c r="G91" s="18" t="s">
        <v>27</v>
      </c>
      <c r="H91" s="13" t="s">
        <v>33</v>
      </c>
      <c r="J91" s="19">
        <v>100</v>
      </c>
      <c r="K91" s="13">
        <v>3</v>
      </c>
      <c r="L91" s="20">
        <f t="shared" si="35"/>
        <v>300</v>
      </c>
      <c r="N91" s="13" t="s">
        <v>24</v>
      </c>
      <c r="Q91" s="13" t="s">
        <v>35</v>
      </c>
      <c r="T91" s="23">
        <f t="shared" si="33"/>
        <v>0</v>
      </c>
      <c r="U91" s="23">
        <f t="shared" si="33"/>
        <v>0</v>
      </c>
      <c r="V91" s="25"/>
      <c r="W91" s="25"/>
      <c r="AC91" s="25">
        <f t="shared" si="30"/>
        <v>0</v>
      </c>
      <c r="AE91" s="32"/>
      <c r="AI91" s="27">
        <v>0.193</v>
      </c>
      <c r="AJ91" s="20">
        <f>AI91*8760*L91</f>
        <v>507204</v>
      </c>
      <c r="AL91" s="13">
        <v>20</v>
      </c>
      <c r="AM91" s="20">
        <f t="shared" si="46"/>
        <v>10144080</v>
      </c>
      <c r="AN91" s="20">
        <f t="shared" si="45"/>
        <v>33813600</v>
      </c>
      <c r="AS91" s="25">
        <f t="shared" si="34"/>
        <v>0</v>
      </c>
      <c r="AT91" s="25"/>
      <c r="AU91" s="25">
        <f t="shared" si="25"/>
        <v>0</v>
      </c>
      <c r="AW91" s="6"/>
      <c r="AX91" s="18">
        <f>1.6*100</f>
        <v>160</v>
      </c>
      <c r="AY91" s="25"/>
      <c r="AZ91" s="6"/>
      <c r="BA91" s="18" t="s">
        <v>146</v>
      </c>
    </row>
    <row r="92" spans="1:53">
      <c r="A92" s="17" t="str">
        <f t="shared" si="31"/>
        <v>\cite{Aberilla2020}</v>
      </c>
      <c r="B92" s="13" t="s">
        <v>143</v>
      </c>
      <c r="C92" s="13">
        <v>2020</v>
      </c>
      <c r="E92" s="13">
        <f t="shared" si="32"/>
        <v>2020</v>
      </c>
      <c r="F92" s="12">
        <f>LOOKUP(E92,Total_wind_installed_capacity!$A$3:$A$34,Total_wind_installed_capacity!$H$3:$H$34)</f>
        <v>741.39724999999999</v>
      </c>
      <c r="G92" s="18" t="s">
        <v>27</v>
      </c>
      <c r="H92" s="13" t="s">
        <v>33</v>
      </c>
      <c r="J92" s="19">
        <v>100</v>
      </c>
      <c r="K92" s="13">
        <v>5</v>
      </c>
      <c r="L92" s="20">
        <f t="shared" si="35"/>
        <v>500</v>
      </c>
      <c r="N92" s="13" t="s">
        <v>24</v>
      </c>
      <c r="Q92" s="13" t="s">
        <v>35</v>
      </c>
      <c r="T92" s="23">
        <f t="shared" si="33"/>
        <v>0</v>
      </c>
      <c r="U92" s="23">
        <f t="shared" si="33"/>
        <v>0</v>
      </c>
      <c r="V92" s="25"/>
      <c r="W92" s="25"/>
      <c r="AC92" s="25">
        <f t="shared" si="30"/>
        <v>0</v>
      </c>
      <c r="AE92" s="32"/>
      <c r="AI92" s="27">
        <v>0.193</v>
      </c>
      <c r="AJ92" s="20">
        <f>AI92*8760*L92</f>
        <v>845340</v>
      </c>
      <c r="AL92" s="13">
        <v>20</v>
      </c>
      <c r="AM92" s="20">
        <f t="shared" si="46"/>
        <v>16906800</v>
      </c>
      <c r="AN92" s="20">
        <f t="shared" si="45"/>
        <v>33813600</v>
      </c>
      <c r="AS92" s="25">
        <f t="shared" si="34"/>
        <v>0</v>
      </c>
      <c r="AT92" s="25"/>
      <c r="AU92" s="25">
        <f t="shared" si="25"/>
        <v>0</v>
      </c>
      <c r="AW92" s="6"/>
      <c r="AX92" s="18">
        <f>1.9*100</f>
        <v>190</v>
      </c>
      <c r="AY92" s="25"/>
      <c r="AZ92" s="6"/>
      <c r="BA92" s="18" t="s">
        <v>147</v>
      </c>
    </row>
    <row r="93" spans="1:53" s="35" customFormat="1">
      <c r="A93" s="17" t="str">
        <f t="shared" si="31"/>
        <v>\cite{Simons2016}</v>
      </c>
      <c r="B93" s="35" t="s">
        <v>148</v>
      </c>
      <c r="C93" s="35">
        <v>2016</v>
      </c>
      <c r="E93" s="13">
        <f t="shared" si="32"/>
        <v>2016</v>
      </c>
      <c r="F93" s="12">
        <f>LOOKUP(E93,Total_wind_installed_capacity!$A$3:$A$34,Total_wind_installed_capacity!$H$3:$H$34)</f>
        <v>480.73440000000005</v>
      </c>
      <c r="G93" s="36" t="s">
        <v>27</v>
      </c>
      <c r="H93" s="35" t="s">
        <v>33</v>
      </c>
      <c r="I93" s="36"/>
      <c r="J93" s="37">
        <v>2130</v>
      </c>
      <c r="K93" s="35">
        <v>8</v>
      </c>
      <c r="L93" s="37">
        <f t="shared" si="35"/>
        <v>17040</v>
      </c>
      <c r="M93" s="38"/>
      <c r="Q93" s="35" t="s">
        <v>35</v>
      </c>
      <c r="R93" s="39"/>
      <c r="T93" s="40">
        <f t="shared" si="33"/>
        <v>0</v>
      </c>
      <c r="U93" s="40">
        <f t="shared" si="33"/>
        <v>0</v>
      </c>
      <c r="V93" s="41"/>
      <c r="W93" s="41"/>
      <c r="AC93" s="25">
        <f t="shared" si="30"/>
        <v>0</v>
      </c>
      <c r="AE93" s="42"/>
      <c r="AI93" s="43">
        <f t="shared" ref="AI93:AI134" si="47">AJ93/L93/8760</f>
        <v>1.0259904173901859</v>
      </c>
      <c r="AJ93" s="37">
        <f>AM93/AL93</f>
        <v>153150000</v>
      </c>
      <c r="AK93" s="44"/>
      <c r="AL93" s="35">
        <v>20</v>
      </c>
      <c r="AM93" s="37">
        <f>3063*1000000</f>
        <v>3063000000</v>
      </c>
      <c r="AN93" s="37">
        <f t="shared" si="45"/>
        <v>179753521.12676057</v>
      </c>
      <c r="AO93" s="36"/>
      <c r="AS93" s="25">
        <f t="shared" si="34"/>
        <v>0</v>
      </c>
      <c r="AT93" s="25"/>
      <c r="AU93" s="25">
        <f t="shared" si="25"/>
        <v>0</v>
      </c>
      <c r="AW93" s="45"/>
      <c r="AX93" s="36">
        <v>0.56999999999999995</v>
      </c>
      <c r="AY93" s="25"/>
      <c r="AZ93" s="45"/>
      <c r="BA93" s="36"/>
    </row>
    <row r="94" spans="1:53" s="35" customFormat="1">
      <c r="A94" s="17" t="str">
        <f t="shared" si="31"/>
        <v>\cite{Simons2016}</v>
      </c>
      <c r="B94" s="35" t="s">
        <v>148</v>
      </c>
      <c r="C94" s="35">
        <v>2016</v>
      </c>
      <c r="E94" s="13">
        <f t="shared" si="32"/>
        <v>2016</v>
      </c>
      <c r="F94" s="12">
        <f>LOOKUP(E94,Total_wind_installed_capacity!$A$3:$A$34,Total_wind_installed_capacity!$H$3:$H$34)</f>
        <v>480.73440000000005</v>
      </c>
      <c r="G94" s="36" t="s">
        <v>27</v>
      </c>
      <c r="H94" s="35" t="s">
        <v>33</v>
      </c>
      <c r="I94" s="36"/>
      <c r="J94" s="37">
        <v>1630</v>
      </c>
      <c r="K94" s="35">
        <v>10</v>
      </c>
      <c r="L94" s="37">
        <f t="shared" si="35"/>
        <v>16300</v>
      </c>
      <c r="M94" s="38"/>
      <c r="Q94" s="35" t="s">
        <v>35</v>
      </c>
      <c r="R94" s="39"/>
      <c r="T94" s="40">
        <f t="shared" si="33"/>
        <v>0</v>
      </c>
      <c r="U94" s="40">
        <f t="shared" si="33"/>
        <v>0</v>
      </c>
      <c r="V94" s="41"/>
      <c r="W94" s="41"/>
      <c r="AC94" s="25">
        <f t="shared" si="30"/>
        <v>0</v>
      </c>
      <c r="AE94" s="42"/>
      <c r="AI94" s="43">
        <f t="shared" si="47"/>
        <v>1.0196935316693279</v>
      </c>
      <c r="AJ94" s="37">
        <f t="shared" ref="AJ94:AJ95" si="48">AM94/AL94</f>
        <v>145600000</v>
      </c>
      <c r="AK94" s="44"/>
      <c r="AL94" s="35">
        <v>20</v>
      </c>
      <c r="AM94" s="37">
        <f>2912*1000000</f>
        <v>2912000000</v>
      </c>
      <c r="AN94" s="37">
        <f t="shared" si="45"/>
        <v>178650306.74846625</v>
      </c>
      <c r="AO94" s="36"/>
      <c r="AS94" s="25">
        <f t="shared" si="34"/>
        <v>0</v>
      </c>
      <c r="AT94" s="25"/>
      <c r="AU94" s="25">
        <f t="shared" si="25"/>
        <v>0</v>
      </c>
      <c r="AW94" s="45"/>
      <c r="AX94" s="36">
        <v>0.64</v>
      </c>
      <c r="AY94" s="25"/>
      <c r="AZ94" s="45"/>
      <c r="BA94" s="36"/>
    </row>
    <row r="95" spans="1:53" s="35" customFormat="1">
      <c r="A95" s="17" t="str">
        <f t="shared" si="31"/>
        <v>\cite{Simons2016}</v>
      </c>
      <c r="B95" s="35" t="s">
        <v>148</v>
      </c>
      <c r="C95" s="35">
        <v>2016</v>
      </c>
      <c r="E95" s="13">
        <f t="shared" si="32"/>
        <v>2016</v>
      </c>
      <c r="F95" s="12">
        <f>LOOKUP(E95,Total_wind_installed_capacity!$A$3:$A$34,Total_wind_installed_capacity!$H$3:$H$34)</f>
        <v>480.73440000000005</v>
      </c>
      <c r="G95" s="36" t="s">
        <v>27</v>
      </c>
      <c r="H95" s="35" t="s">
        <v>33</v>
      </c>
      <c r="I95" s="36"/>
      <c r="J95" s="37">
        <v>2690</v>
      </c>
      <c r="K95" s="35">
        <v>3</v>
      </c>
      <c r="L95" s="37">
        <f t="shared" si="35"/>
        <v>8070</v>
      </c>
      <c r="M95" s="38"/>
      <c r="Q95" s="35" t="s">
        <v>35</v>
      </c>
      <c r="R95" s="39"/>
      <c r="T95" s="40">
        <f t="shared" si="33"/>
        <v>0</v>
      </c>
      <c r="U95" s="40">
        <f t="shared" si="33"/>
        <v>0</v>
      </c>
      <c r="V95" s="41"/>
      <c r="W95" s="41"/>
      <c r="AC95" s="25">
        <f t="shared" si="30"/>
        <v>0</v>
      </c>
      <c r="AE95" s="42"/>
      <c r="AI95" s="43">
        <f t="shared" si="47"/>
        <v>1.0588005635619833</v>
      </c>
      <c r="AJ95" s="37">
        <f t="shared" si="48"/>
        <v>74850000</v>
      </c>
      <c r="AK95" s="44"/>
      <c r="AL95" s="35">
        <v>20</v>
      </c>
      <c r="AM95" s="37">
        <f>1497*1000000</f>
        <v>1497000000</v>
      </c>
      <c r="AN95" s="37">
        <f t="shared" si="45"/>
        <v>185501858.73605949</v>
      </c>
      <c r="AO95" s="36"/>
      <c r="AS95" s="25">
        <f t="shared" si="34"/>
        <v>0</v>
      </c>
      <c r="AT95" s="25"/>
      <c r="AU95" s="25">
        <f t="shared" si="25"/>
        <v>0</v>
      </c>
      <c r="AW95" s="45"/>
      <c r="AX95" s="36">
        <v>0.56999999999999995</v>
      </c>
      <c r="AY95" s="25"/>
      <c r="AZ95" s="45"/>
      <c r="BA95" s="36"/>
    </row>
    <row r="96" spans="1:53">
      <c r="A96" s="17" t="str">
        <f t="shared" si="31"/>
        <v>\cite{Uddin2014}</v>
      </c>
      <c r="B96" s="13" t="s">
        <v>149</v>
      </c>
      <c r="C96" s="13">
        <v>2014</v>
      </c>
      <c r="E96" s="13">
        <f t="shared" si="32"/>
        <v>2014</v>
      </c>
      <c r="F96" s="12">
        <f>LOOKUP(E96,Total_wind_installed_capacity!$A$3:$A$34,Total_wind_installed_capacity!$H$3:$H$34)</f>
        <v>360.68525</v>
      </c>
      <c r="G96" s="18" t="s">
        <v>27</v>
      </c>
      <c r="H96" s="13" t="s">
        <v>33</v>
      </c>
      <c r="J96" s="13">
        <v>0.3</v>
      </c>
      <c r="K96" s="13">
        <v>1</v>
      </c>
      <c r="L96" s="13">
        <f t="shared" si="35"/>
        <v>0.3</v>
      </c>
      <c r="N96" s="13" t="s">
        <v>24</v>
      </c>
      <c r="R96" s="22">
        <v>532</v>
      </c>
      <c r="T96" s="23">
        <f t="shared" si="33"/>
        <v>147.77777777777777</v>
      </c>
      <c r="U96" s="23">
        <f t="shared" si="33"/>
        <v>0</v>
      </c>
      <c r="V96" s="6">
        <f>R96/$L96/1000</f>
        <v>1.7733333333333334</v>
      </c>
      <c r="W96" s="25"/>
      <c r="X96" s="6">
        <f>V96/3.6</f>
        <v>0.49259259259259258</v>
      </c>
      <c r="Y96" s="6"/>
      <c r="AA96" s="24">
        <f>R96/3.6/100*IF(Z96&gt;0,Z96,30)</f>
        <v>44.333333333333329</v>
      </c>
      <c r="AC96" s="25">
        <f t="shared" si="30"/>
        <v>4.1125541125541119E-3</v>
      </c>
      <c r="AE96" s="32">
        <f>(0.24+0.0007*29)*AJ96</f>
        <v>140.30169999999998</v>
      </c>
      <c r="AG96" s="25">
        <f t="shared" ref="AG96:AG97" si="49">AE96/$L96/1000</f>
        <v>0.4676723333333333</v>
      </c>
      <c r="AI96" s="27">
        <f t="shared" si="47"/>
        <v>0.20509893455098935</v>
      </c>
      <c r="AJ96" s="20">
        <v>539</v>
      </c>
      <c r="AL96" s="13">
        <v>20</v>
      </c>
      <c r="AM96" s="20">
        <f>AL96*AJ96</f>
        <v>10780</v>
      </c>
      <c r="AN96" s="20">
        <f t="shared" si="45"/>
        <v>35933333.333333336</v>
      </c>
      <c r="AS96" s="25">
        <f t="shared" si="34"/>
        <v>4.9350649350649353E-2</v>
      </c>
      <c r="AT96" s="25"/>
      <c r="AU96" s="25">
        <f t="shared" si="25"/>
        <v>1.3708513708513708E-2</v>
      </c>
      <c r="AW96" s="6"/>
      <c r="AX96" s="29">
        <f>AE96*1000/AM96</f>
        <v>13.014999999999999</v>
      </c>
      <c r="AY96" s="25"/>
      <c r="AZ96" s="6"/>
      <c r="BA96" s="18" t="s">
        <v>150</v>
      </c>
    </row>
    <row r="97" spans="1:53">
      <c r="A97" s="17" t="str">
        <f t="shared" si="31"/>
        <v>\cite{Uddin2014}</v>
      </c>
      <c r="B97" s="13" t="s">
        <v>149</v>
      </c>
      <c r="C97" s="13">
        <v>2014</v>
      </c>
      <c r="E97" s="13">
        <f t="shared" si="32"/>
        <v>2014</v>
      </c>
      <c r="F97" s="12">
        <f>LOOKUP(E97,Total_wind_installed_capacity!$A$3:$A$34,Total_wind_installed_capacity!$H$3:$H$34)</f>
        <v>360.68525</v>
      </c>
      <c r="G97" s="18" t="s">
        <v>27</v>
      </c>
      <c r="H97" s="13" t="s">
        <v>33</v>
      </c>
      <c r="J97" s="13">
        <v>0.5</v>
      </c>
      <c r="K97" s="13">
        <v>1</v>
      </c>
      <c r="L97" s="13">
        <f t="shared" si="35"/>
        <v>0.5</v>
      </c>
      <c r="N97" s="13" t="s">
        <v>24</v>
      </c>
      <c r="O97" s="13">
        <v>1.7</v>
      </c>
      <c r="R97" s="22">
        <v>590</v>
      </c>
      <c r="T97" s="23">
        <f t="shared" si="33"/>
        <v>163.88888888888889</v>
      </c>
      <c r="U97" s="23">
        <f t="shared" si="33"/>
        <v>0</v>
      </c>
      <c r="V97" s="6">
        <f>R97/$L97/1000</f>
        <v>1.18</v>
      </c>
      <c r="W97" s="25"/>
      <c r="X97" s="6">
        <f>V97/3.6</f>
        <v>0.32777777777777778</v>
      </c>
      <c r="Y97" s="6"/>
      <c r="AA97" s="24">
        <f>R97/3.6/100*IF(Z97&gt;0,Z97,30)</f>
        <v>49.166666666666664</v>
      </c>
      <c r="AC97" s="25">
        <f t="shared" si="30"/>
        <v>1.379536101758324E-3</v>
      </c>
      <c r="AE97" s="32">
        <f>(0.08+0.00037*29)*AJ97</f>
        <v>161.68086</v>
      </c>
      <c r="AG97" s="25">
        <f t="shared" si="49"/>
        <v>0.32336171999999996</v>
      </c>
      <c r="AI97" s="27">
        <f t="shared" si="47"/>
        <v>0.40684931506849314</v>
      </c>
      <c r="AJ97" s="20">
        <v>1782</v>
      </c>
      <c r="AL97" s="13">
        <v>20</v>
      </c>
      <c r="AM97" s="20">
        <f>AL97*AJ97</f>
        <v>35640</v>
      </c>
      <c r="AN97" s="20">
        <f t="shared" si="45"/>
        <v>71280000</v>
      </c>
      <c r="AS97" s="25">
        <f t="shared" si="34"/>
        <v>1.6554433221099889E-2</v>
      </c>
      <c r="AT97" s="25"/>
      <c r="AU97" s="25">
        <f t="shared" si="25"/>
        <v>4.5984536725277468E-3</v>
      </c>
      <c r="AW97" s="6"/>
      <c r="AX97" s="29">
        <f>AE97*1000/AM97</f>
        <v>4.5364999999999993</v>
      </c>
      <c r="AY97" s="25"/>
      <c r="AZ97" s="6"/>
      <c r="BA97" s="18" t="s">
        <v>151</v>
      </c>
    </row>
    <row r="98" spans="1:53">
      <c r="A98" s="17" t="str">
        <f t="shared" si="31"/>
        <v>\cite{Zhao2017}</v>
      </c>
      <c r="B98" s="13" t="s">
        <v>152</v>
      </c>
      <c r="C98" s="13">
        <v>2017</v>
      </c>
      <c r="E98" s="13">
        <f t="shared" si="32"/>
        <v>2017</v>
      </c>
      <c r="F98" s="12">
        <f>LOOKUP(E98,Total_wind_installed_capacity!$A$3:$A$34,Total_wind_installed_capacity!$H$3:$H$34)</f>
        <v>530.78719999999998</v>
      </c>
      <c r="G98" s="18" t="s">
        <v>27</v>
      </c>
      <c r="H98" s="13" t="s">
        <v>33</v>
      </c>
      <c r="J98" s="19">
        <f>L98/K98</f>
        <v>1500</v>
      </c>
      <c r="K98" s="13">
        <v>33</v>
      </c>
      <c r="L98" s="20">
        <v>49500</v>
      </c>
      <c r="M98" s="18" t="s">
        <v>153</v>
      </c>
      <c r="N98" s="13" t="s">
        <v>24</v>
      </c>
      <c r="R98" s="18"/>
      <c r="T98" s="23">
        <f t="shared" si="33"/>
        <v>0</v>
      </c>
      <c r="U98" s="23">
        <f t="shared" si="33"/>
        <v>0</v>
      </c>
      <c r="AC98" s="25">
        <f t="shared" ref="AC98:AC129" si="50">IF(AND(AA98&gt;0,AM98&gt;0),AA98/AM98, IF(AU98&gt;0, IF(Z98&gt;0, AU98*Z98/100,AU98*30/100),0))</f>
        <v>0</v>
      </c>
      <c r="AE98" s="32">
        <f>(12181.521+108.57+6589.04+1272.12+1218.15)*1000</f>
        <v>21369401</v>
      </c>
      <c r="AG98" s="25">
        <v>0</v>
      </c>
      <c r="AI98" s="27">
        <f t="shared" si="47"/>
        <v>0.27113601771136014</v>
      </c>
      <c r="AJ98" s="20">
        <f>117.57*1000000</f>
        <v>117570000</v>
      </c>
      <c r="AK98" s="13"/>
      <c r="AL98" s="13">
        <v>20</v>
      </c>
      <c r="AM98" s="20">
        <f t="shared" ref="AM98:AM133" si="51">AJ98*AL98</f>
        <v>2351400000</v>
      </c>
      <c r="AN98" s="20">
        <f t="shared" si="45"/>
        <v>47503030.303030305</v>
      </c>
      <c r="AS98" s="25">
        <f t="shared" si="34"/>
        <v>0</v>
      </c>
      <c r="AT98" s="25"/>
      <c r="AU98" s="25">
        <f t="shared" si="25"/>
        <v>0</v>
      </c>
      <c r="AX98" s="29">
        <f>5.18+0.0462+2.8+0.54+0.52</f>
        <v>9.0861999999999981</v>
      </c>
      <c r="AY98" s="25"/>
    </row>
    <row r="99" spans="1:53">
      <c r="A99" s="17" t="str">
        <f t="shared" si="31"/>
        <v>\cite{Zhang2017}</v>
      </c>
      <c r="B99" s="13" t="s">
        <v>154</v>
      </c>
      <c r="C99" s="13">
        <v>2017</v>
      </c>
      <c r="E99" s="13">
        <f t="shared" si="32"/>
        <v>2017</v>
      </c>
      <c r="F99" s="12">
        <f>LOOKUP(E99,Total_wind_installed_capacity!$A$3:$A$34,Total_wind_installed_capacity!$H$3:$H$34)</f>
        <v>530.78719999999998</v>
      </c>
      <c r="G99" s="18" t="s">
        <v>27</v>
      </c>
      <c r="H99" s="13" t="s">
        <v>33</v>
      </c>
      <c r="I99" s="18" t="s">
        <v>19</v>
      </c>
      <c r="L99" s="20">
        <v>200000</v>
      </c>
      <c r="M99" s="18"/>
      <c r="N99" s="13" t="s">
        <v>24</v>
      </c>
      <c r="Q99" s="13" t="s">
        <v>20</v>
      </c>
      <c r="R99" s="26">
        <f t="shared" ref="R99:R122" si="52">V99*L99*1000</f>
        <v>4090000000</v>
      </c>
      <c r="S99" s="19">
        <f t="shared" ref="S99:S122" si="53">W99*L99*1000</f>
        <v>865000000.00000024</v>
      </c>
      <c r="T99" s="23">
        <f t="shared" si="33"/>
        <v>1136111111.1111112</v>
      </c>
      <c r="U99" s="23">
        <f t="shared" si="33"/>
        <v>240277777.77777785</v>
      </c>
      <c r="V99" s="6">
        <v>20.45</v>
      </c>
      <c r="W99" s="13">
        <f>(24.8-16.15)/2</f>
        <v>4.3250000000000011</v>
      </c>
      <c r="X99" s="6">
        <f t="shared" ref="X99:X142" si="54">V99/3.6</f>
        <v>5.6805555555555554</v>
      </c>
      <c r="Y99" s="6"/>
      <c r="AA99" s="24">
        <f t="shared" ref="AA99:AA122" si="55">R99/3.6/100*IF($Z99&gt;0,$Z99,30)</f>
        <v>340833333.33333337</v>
      </c>
      <c r="AB99" s="24">
        <f t="shared" ref="AB99:AB122" si="56">S99/3.6/100*IF($Z99&gt;0,$Z99,30)</f>
        <v>72083333.333333358</v>
      </c>
      <c r="AC99" s="25">
        <f t="shared" si="50"/>
        <v>3.8504409649261551E-2</v>
      </c>
      <c r="AE99" s="32"/>
      <c r="AG99" s="25">
        <v>0</v>
      </c>
      <c r="AI99" s="27">
        <f t="shared" si="47"/>
        <v>0.2526198630136986</v>
      </c>
      <c r="AJ99" s="20">
        <f>442590000</f>
        <v>442590000</v>
      </c>
      <c r="AK99" s="13"/>
      <c r="AL99" s="13">
        <v>20</v>
      </c>
      <c r="AM99" s="20">
        <f t="shared" si="51"/>
        <v>8851800000</v>
      </c>
      <c r="AN99" s="20">
        <f t="shared" si="45"/>
        <v>44259000</v>
      </c>
      <c r="AS99" s="25">
        <f t="shared" si="34"/>
        <v>0.46205291579113855</v>
      </c>
      <c r="AT99" s="25"/>
      <c r="AU99" s="25">
        <f t="shared" si="25"/>
        <v>0.12834803216420515</v>
      </c>
      <c r="AV99" s="50">
        <f t="shared" ref="AV99:AV123" si="57">AB99/$AM99</f>
        <v>8.1433531409807452E-3</v>
      </c>
      <c r="AX99" s="29"/>
      <c r="AY99" s="25"/>
      <c r="BA99" s="18" t="s">
        <v>155</v>
      </c>
    </row>
    <row r="100" spans="1:53">
      <c r="A100" s="17" t="str">
        <f t="shared" si="31"/>
        <v>\cite{Zhang2017}</v>
      </c>
      <c r="B100" s="13" t="s">
        <v>154</v>
      </c>
      <c r="C100" s="13">
        <v>2017</v>
      </c>
      <c r="E100" s="13">
        <f t="shared" si="32"/>
        <v>2017</v>
      </c>
      <c r="F100" s="12">
        <f>LOOKUP(E100,Total_wind_installed_capacity!$A$3:$A$34,Total_wind_installed_capacity!$H$3:$H$34)</f>
        <v>530.78719999999998</v>
      </c>
      <c r="G100" s="18" t="s">
        <v>27</v>
      </c>
      <c r="H100" s="13" t="s">
        <v>33</v>
      </c>
      <c r="I100" s="18" t="s">
        <v>19</v>
      </c>
      <c r="L100" s="20">
        <v>100000</v>
      </c>
      <c r="M100" s="18"/>
      <c r="N100" s="13" t="s">
        <v>24</v>
      </c>
      <c r="Q100" s="13" t="s">
        <v>35</v>
      </c>
      <c r="R100" s="26">
        <f t="shared" si="52"/>
        <v>2045000000</v>
      </c>
      <c r="S100" s="19">
        <f t="shared" si="53"/>
        <v>432500000.00000012</v>
      </c>
      <c r="T100" s="23">
        <f t="shared" si="33"/>
        <v>568055555.55555558</v>
      </c>
      <c r="U100" s="23">
        <f t="shared" si="33"/>
        <v>120138888.88888893</v>
      </c>
      <c r="V100" s="6">
        <v>20.45</v>
      </c>
      <c r="W100" s="13">
        <f t="shared" ref="W100:W106" si="58">(24.8-16.15)/2</f>
        <v>4.3250000000000011</v>
      </c>
      <c r="X100" s="6">
        <f t="shared" si="54"/>
        <v>5.6805555555555554</v>
      </c>
      <c r="Y100" s="6"/>
      <c r="AA100" s="24">
        <f t="shared" si="55"/>
        <v>170416666.66666669</v>
      </c>
      <c r="AB100" s="24">
        <f t="shared" si="56"/>
        <v>36041666.666666679</v>
      </c>
      <c r="AC100" s="25">
        <f t="shared" si="50"/>
        <v>3.7691128116660033E-2</v>
      </c>
      <c r="AG100" s="25">
        <v>0</v>
      </c>
      <c r="AI100" s="27">
        <f t="shared" si="47"/>
        <v>0.25807077625570773</v>
      </c>
      <c r="AJ100" s="20">
        <f>226070000</f>
        <v>226070000</v>
      </c>
      <c r="AK100" s="13"/>
      <c r="AL100" s="13">
        <v>20</v>
      </c>
      <c r="AM100" s="20">
        <f t="shared" si="51"/>
        <v>4521400000</v>
      </c>
      <c r="AN100" s="20">
        <f t="shared" si="45"/>
        <v>45214000</v>
      </c>
      <c r="AS100" s="25">
        <f t="shared" si="34"/>
        <v>0.4522935373999204</v>
      </c>
      <c r="AT100" s="25"/>
      <c r="AU100" s="25">
        <f t="shared" si="25"/>
        <v>0.12563709372220011</v>
      </c>
      <c r="AV100" s="50">
        <f t="shared" si="57"/>
        <v>7.9713510564574427E-3</v>
      </c>
      <c r="AX100" s="29"/>
      <c r="AY100" s="25"/>
      <c r="BA100" s="18" t="s">
        <v>155</v>
      </c>
    </row>
    <row r="101" spans="1:53">
      <c r="A101" s="17" t="str">
        <f t="shared" si="31"/>
        <v>\cite{Zhang2017}</v>
      </c>
      <c r="B101" s="13" t="s">
        <v>154</v>
      </c>
      <c r="C101" s="13">
        <v>2017</v>
      </c>
      <c r="E101" s="13">
        <f t="shared" si="32"/>
        <v>2017</v>
      </c>
      <c r="F101" s="12">
        <f>LOOKUP(E101,Total_wind_installed_capacity!$A$3:$A$34,Total_wind_installed_capacity!$H$3:$H$34)</f>
        <v>530.78719999999998</v>
      </c>
      <c r="G101" s="18" t="s">
        <v>27</v>
      </c>
      <c r="H101" s="13" t="s">
        <v>33</v>
      </c>
      <c r="I101" s="18" t="s">
        <v>19</v>
      </c>
      <c r="L101" s="20">
        <v>200000</v>
      </c>
      <c r="M101" s="18"/>
      <c r="N101" s="13" t="s">
        <v>24</v>
      </c>
      <c r="Q101" s="13" t="s">
        <v>35</v>
      </c>
      <c r="R101" s="26">
        <f t="shared" si="52"/>
        <v>4090000000</v>
      </c>
      <c r="S101" s="19">
        <f t="shared" si="53"/>
        <v>865000000.00000024</v>
      </c>
      <c r="T101" s="23">
        <f t="shared" si="33"/>
        <v>1136111111.1111112</v>
      </c>
      <c r="U101" s="23">
        <f t="shared" si="33"/>
        <v>240277777.77777785</v>
      </c>
      <c r="V101" s="6">
        <v>20.45</v>
      </c>
      <c r="W101" s="13">
        <f t="shared" si="58"/>
        <v>4.3250000000000011</v>
      </c>
      <c r="X101" s="6">
        <f t="shared" si="54"/>
        <v>5.6805555555555554</v>
      </c>
      <c r="Y101" s="6"/>
      <c r="AA101" s="24">
        <f t="shared" si="55"/>
        <v>340833333.33333337</v>
      </c>
      <c r="AB101" s="24">
        <f t="shared" si="56"/>
        <v>72083333.333333358</v>
      </c>
      <c r="AC101" s="25">
        <f t="shared" si="50"/>
        <v>3.7615421403082813E-2</v>
      </c>
      <c r="AG101" s="25">
        <v>0</v>
      </c>
      <c r="AI101" s="27">
        <f t="shared" si="47"/>
        <v>0.25859018264840183</v>
      </c>
      <c r="AJ101" s="20">
        <v>453050000</v>
      </c>
      <c r="AK101" s="13"/>
      <c r="AL101" s="13">
        <v>20</v>
      </c>
      <c r="AM101" s="20">
        <f t="shared" si="51"/>
        <v>9061000000</v>
      </c>
      <c r="AN101" s="20">
        <f t="shared" si="45"/>
        <v>45305000</v>
      </c>
      <c r="AS101" s="25">
        <f t="shared" si="34"/>
        <v>0.4513850568369937</v>
      </c>
      <c r="AT101" s="25"/>
      <c r="AU101" s="25">
        <f t="shared" si="25"/>
        <v>0.12538473801027603</v>
      </c>
      <c r="AV101" s="50">
        <f t="shared" si="57"/>
        <v>7.9553397343928214E-3</v>
      </c>
      <c r="AX101" s="29"/>
      <c r="AY101" s="25"/>
      <c r="BA101" s="18" t="s">
        <v>155</v>
      </c>
    </row>
    <row r="102" spans="1:53">
      <c r="A102" s="17" t="str">
        <f t="shared" si="31"/>
        <v>\cite{Zhang2017}</v>
      </c>
      <c r="B102" s="13" t="s">
        <v>154</v>
      </c>
      <c r="C102" s="13">
        <v>2017</v>
      </c>
      <c r="E102" s="13">
        <f t="shared" si="32"/>
        <v>2017</v>
      </c>
      <c r="F102" s="12">
        <f>LOOKUP(E102,Total_wind_installed_capacity!$A$3:$A$34,Total_wind_installed_capacity!$H$3:$H$34)</f>
        <v>530.78719999999998</v>
      </c>
      <c r="G102" s="18" t="s">
        <v>27</v>
      </c>
      <c r="H102" s="13" t="s">
        <v>33</v>
      </c>
      <c r="I102" s="18" t="s">
        <v>19</v>
      </c>
      <c r="L102" s="20">
        <v>49500</v>
      </c>
      <c r="M102" s="18"/>
      <c r="N102" s="13" t="s">
        <v>24</v>
      </c>
      <c r="Q102" s="13" t="s">
        <v>20</v>
      </c>
      <c r="R102" s="26">
        <f t="shared" si="52"/>
        <v>1012275000</v>
      </c>
      <c r="S102" s="19">
        <f t="shared" si="53"/>
        <v>214087500.00000006</v>
      </c>
      <c r="T102" s="23">
        <f t="shared" si="33"/>
        <v>281187500</v>
      </c>
      <c r="U102" s="23">
        <f t="shared" si="33"/>
        <v>59468750.000000015</v>
      </c>
      <c r="V102" s="6">
        <v>20.45</v>
      </c>
      <c r="W102" s="13">
        <f t="shared" si="58"/>
        <v>4.3250000000000011</v>
      </c>
      <c r="X102" s="6">
        <f t="shared" si="54"/>
        <v>5.6805555555555554</v>
      </c>
      <c r="Y102" s="6"/>
      <c r="AA102" s="24">
        <f t="shared" si="55"/>
        <v>84356250</v>
      </c>
      <c r="AB102" s="24">
        <f t="shared" si="56"/>
        <v>17840625.000000004</v>
      </c>
      <c r="AC102" s="25">
        <f t="shared" si="50"/>
        <v>4.3844204781704782E-2</v>
      </c>
      <c r="AG102" s="25">
        <v>0</v>
      </c>
      <c r="AI102" s="27">
        <f t="shared" si="47"/>
        <v>0.22185323555186567</v>
      </c>
      <c r="AJ102" s="20">
        <v>96200000</v>
      </c>
      <c r="AK102" s="13"/>
      <c r="AL102" s="13">
        <v>20</v>
      </c>
      <c r="AM102" s="20">
        <f t="shared" si="51"/>
        <v>1924000000</v>
      </c>
      <c r="AN102" s="20">
        <f t="shared" si="45"/>
        <v>38868686.86868687</v>
      </c>
      <c r="AS102" s="25">
        <f t="shared" si="34"/>
        <v>0.52613045738045738</v>
      </c>
      <c r="AT102" s="25"/>
      <c r="AU102" s="25">
        <f t="shared" si="25"/>
        <v>0.14614734927234926</v>
      </c>
      <c r="AV102" s="50">
        <f t="shared" si="57"/>
        <v>9.2726741164241185E-3</v>
      </c>
      <c r="AX102" s="29"/>
      <c r="AY102" s="25"/>
      <c r="BA102" s="18" t="s">
        <v>155</v>
      </c>
    </row>
    <row r="103" spans="1:53">
      <c r="A103" s="17" t="str">
        <f t="shared" si="31"/>
        <v>\cite{Zhang2017}</v>
      </c>
      <c r="B103" s="13" t="s">
        <v>154</v>
      </c>
      <c r="C103" s="13">
        <v>2017</v>
      </c>
      <c r="E103" s="13">
        <f t="shared" si="32"/>
        <v>2017</v>
      </c>
      <c r="F103" s="12">
        <f>LOOKUP(E103,Total_wind_installed_capacity!$A$3:$A$34,Total_wind_installed_capacity!$H$3:$H$34)</f>
        <v>530.78719999999998</v>
      </c>
      <c r="G103" s="18" t="s">
        <v>27</v>
      </c>
      <c r="H103" s="13" t="s">
        <v>33</v>
      </c>
      <c r="I103" s="18" t="s">
        <v>19</v>
      </c>
      <c r="L103" s="20">
        <v>60000</v>
      </c>
      <c r="M103" s="18"/>
      <c r="N103" s="13" t="s">
        <v>24</v>
      </c>
      <c r="Q103" s="13" t="s">
        <v>20</v>
      </c>
      <c r="R103" s="26">
        <f t="shared" si="52"/>
        <v>1227000000</v>
      </c>
      <c r="S103" s="19">
        <f t="shared" si="53"/>
        <v>259500000.00000006</v>
      </c>
      <c r="T103" s="23">
        <f t="shared" si="33"/>
        <v>340833333.33333331</v>
      </c>
      <c r="U103" s="23">
        <f t="shared" si="33"/>
        <v>72083333.333333343</v>
      </c>
      <c r="V103" s="6">
        <v>20.45</v>
      </c>
      <c r="W103" s="13">
        <f t="shared" si="58"/>
        <v>4.3250000000000011</v>
      </c>
      <c r="X103" s="6">
        <f t="shared" si="54"/>
        <v>5.6805555555555554</v>
      </c>
      <c r="Y103" s="6"/>
      <c r="AA103" s="24">
        <f t="shared" si="55"/>
        <v>102249999.99999999</v>
      </c>
      <c r="AB103" s="24">
        <f t="shared" si="56"/>
        <v>21625000.000000004</v>
      </c>
      <c r="AC103" s="25">
        <f t="shared" si="50"/>
        <v>3.2588602753697085E-2</v>
      </c>
      <c r="AG103" s="25">
        <v>0</v>
      </c>
      <c r="AI103" s="27">
        <f t="shared" si="47"/>
        <v>0.29847792998477929</v>
      </c>
      <c r="AJ103" s="20">
        <v>156880000</v>
      </c>
      <c r="AK103" s="13"/>
      <c r="AL103" s="13">
        <v>20</v>
      </c>
      <c r="AM103" s="20">
        <f t="shared" si="51"/>
        <v>3137600000</v>
      </c>
      <c r="AN103" s="20">
        <f t="shared" si="45"/>
        <v>52293333.333333336</v>
      </c>
      <c r="AS103" s="25">
        <f t="shared" si="34"/>
        <v>0.39106323304436513</v>
      </c>
      <c r="AT103" s="25"/>
      <c r="AU103" s="25">
        <f t="shared" si="25"/>
        <v>0.10862867584565697</v>
      </c>
      <c r="AV103" s="50">
        <f t="shared" si="57"/>
        <v>6.8922106068332496E-3</v>
      </c>
      <c r="AX103" s="29"/>
      <c r="AY103" s="25"/>
      <c r="BA103" s="18" t="s">
        <v>155</v>
      </c>
    </row>
    <row r="104" spans="1:53">
      <c r="A104" s="17" t="str">
        <f t="shared" si="31"/>
        <v>\cite{Zhang2017}</v>
      </c>
      <c r="B104" s="13" t="s">
        <v>154</v>
      </c>
      <c r="C104" s="13">
        <v>2017</v>
      </c>
      <c r="E104" s="13">
        <f t="shared" si="32"/>
        <v>2017</v>
      </c>
      <c r="F104" s="12">
        <f>LOOKUP(E104,Total_wind_installed_capacity!$A$3:$A$34,Total_wind_installed_capacity!$H$3:$H$34)</f>
        <v>530.78719999999998</v>
      </c>
      <c r="G104" s="18" t="s">
        <v>27</v>
      </c>
      <c r="H104" s="13" t="s">
        <v>33</v>
      </c>
      <c r="I104" s="18" t="s">
        <v>19</v>
      </c>
      <c r="L104" s="20">
        <v>49500</v>
      </c>
      <c r="M104" s="18"/>
      <c r="N104" s="13" t="s">
        <v>24</v>
      </c>
      <c r="Q104" s="13" t="s">
        <v>35</v>
      </c>
      <c r="R104" s="26">
        <f t="shared" si="52"/>
        <v>1012275000</v>
      </c>
      <c r="S104" s="19">
        <f t="shared" si="53"/>
        <v>214087500.00000006</v>
      </c>
      <c r="T104" s="23">
        <f t="shared" si="33"/>
        <v>281187500</v>
      </c>
      <c r="U104" s="23">
        <f t="shared" si="33"/>
        <v>59468750.000000015</v>
      </c>
      <c r="V104" s="6">
        <v>20.45</v>
      </c>
      <c r="W104" s="13">
        <f t="shared" si="58"/>
        <v>4.3250000000000011</v>
      </c>
      <c r="X104" s="6">
        <f t="shared" si="54"/>
        <v>5.6805555555555554</v>
      </c>
      <c r="Y104" s="6"/>
      <c r="AA104" s="24">
        <f t="shared" si="55"/>
        <v>84356250</v>
      </c>
      <c r="AB104" s="24">
        <f t="shared" si="56"/>
        <v>17840625.000000004</v>
      </c>
      <c r="AC104" s="25">
        <f t="shared" si="50"/>
        <v>3.14574321300716E-2</v>
      </c>
      <c r="AG104" s="25">
        <v>0</v>
      </c>
      <c r="AI104" s="27">
        <f t="shared" si="47"/>
        <v>0.30921082975877495</v>
      </c>
      <c r="AJ104" s="20">
        <v>134080000</v>
      </c>
      <c r="AK104" s="13"/>
      <c r="AL104" s="13">
        <v>20</v>
      </c>
      <c r="AM104" s="20">
        <f t="shared" si="51"/>
        <v>2681600000</v>
      </c>
      <c r="AN104" s="20">
        <f t="shared" si="45"/>
        <v>54173737.373737372</v>
      </c>
      <c r="AS104" s="25">
        <f t="shared" si="34"/>
        <v>0.3774891855608592</v>
      </c>
      <c r="AT104" s="25"/>
      <c r="AU104" s="25">
        <f t="shared" si="25"/>
        <v>0.10485810710023866</v>
      </c>
      <c r="AV104" s="50">
        <f t="shared" si="57"/>
        <v>6.6529776998806699E-3</v>
      </c>
      <c r="AX104" s="29"/>
      <c r="AY104" s="25"/>
      <c r="BA104" s="18" t="s">
        <v>155</v>
      </c>
    </row>
    <row r="105" spans="1:53">
      <c r="A105" s="17" t="str">
        <f t="shared" si="31"/>
        <v>\cite{Zhang2017}</v>
      </c>
      <c r="B105" s="13" t="s">
        <v>154</v>
      </c>
      <c r="C105" s="13">
        <v>2017</v>
      </c>
      <c r="E105" s="13">
        <f t="shared" si="32"/>
        <v>2017</v>
      </c>
      <c r="F105" s="12">
        <f>LOOKUP(E105,Total_wind_installed_capacity!$A$3:$A$34,Total_wind_installed_capacity!$H$3:$H$34)</f>
        <v>530.78719999999998</v>
      </c>
      <c r="G105" s="18" t="s">
        <v>27</v>
      </c>
      <c r="H105" s="13" t="s">
        <v>33</v>
      </c>
      <c r="I105" s="18" t="s">
        <v>19</v>
      </c>
      <c r="L105" s="20">
        <v>49500</v>
      </c>
      <c r="M105" s="18"/>
      <c r="N105" s="13" t="s">
        <v>24</v>
      </c>
      <c r="Q105" s="13" t="s">
        <v>20</v>
      </c>
      <c r="R105" s="26">
        <f t="shared" si="52"/>
        <v>1012275000</v>
      </c>
      <c r="S105" s="19">
        <f t="shared" si="53"/>
        <v>214087500.00000006</v>
      </c>
      <c r="T105" s="23">
        <f t="shared" si="33"/>
        <v>281187500</v>
      </c>
      <c r="U105" s="23">
        <f t="shared" si="33"/>
        <v>59468750.000000015</v>
      </c>
      <c r="V105" s="6">
        <v>20.45</v>
      </c>
      <c r="W105" s="13">
        <f t="shared" si="58"/>
        <v>4.3250000000000011</v>
      </c>
      <c r="X105" s="6">
        <f t="shared" si="54"/>
        <v>5.6805555555555554</v>
      </c>
      <c r="Y105" s="6"/>
      <c r="AA105" s="24">
        <f t="shared" si="55"/>
        <v>84356250</v>
      </c>
      <c r="AB105" s="24">
        <f t="shared" si="56"/>
        <v>17840625.000000004</v>
      </c>
      <c r="AC105" s="25">
        <f t="shared" si="50"/>
        <v>3.2678488417137989E-2</v>
      </c>
      <c r="AG105" s="25">
        <v>0</v>
      </c>
      <c r="AI105" s="27">
        <f t="shared" si="47"/>
        <v>0.297656934643236</v>
      </c>
      <c r="AJ105" s="20">
        <v>129070000</v>
      </c>
      <c r="AK105" s="13"/>
      <c r="AL105" s="13">
        <v>20</v>
      </c>
      <c r="AM105" s="20">
        <f t="shared" si="51"/>
        <v>2581400000</v>
      </c>
      <c r="AN105" s="20">
        <f t="shared" si="45"/>
        <v>52149494.94949495</v>
      </c>
      <c r="AS105" s="25">
        <f t="shared" si="34"/>
        <v>0.39214186100565585</v>
      </c>
      <c r="AT105" s="25"/>
      <c r="AU105" s="25">
        <f t="shared" si="25"/>
        <v>0.10892829472379328</v>
      </c>
      <c r="AV105" s="50">
        <f t="shared" si="57"/>
        <v>6.9112206554582797E-3</v>
      </c>
      <c r="AX105" s="29"/>
      <c r="AY105" s="25"/>
      <c r="BA105" s="18" t="s">
        <v>155</v>
      </c>
    </row>
    <row r="106" spans="1:53">
      <c r="A106" s="17" t="str">
        <f t="shared" si="31"/>
        <v>\cite{Zhang2017}</v>
      </c>
      <c r="B106" s="13" t="s">
        <v>154</v>
      </c>
      <c r="C106" s="13">
        <v>2017</v>
      </c>
      <c r="E106" s="13">
        <f t="shared" si="32"/>
        <v>2017</v>
      </c>
      <c r="F106" s="12">
        <f>LOOKUP(E106,Total_wind_installed_capacity!$A$3:$A$34,Total_wind_installed_capacity!$H$3:$H$34)</f>
        <v>530.78719999999998</v>
      </c>
      <c r="G106" s="18" t="s">
        <v>27</v>
      </c>
      <c r="H106" s="13" t="s">
        <v>33</v>
      </c>
      <c r="I106" s="18" t="s">
        <v>19</v>
      </c>
      <c r="L106" s="20">
        <v>100000</v>
      </c>
      <c r="M106" s="18"/>
      <c r="N106" s="13" t="s">
        <v>24</v>
      </c>
      <c r="Q106" s="13" t="s">
        <v>20</v>
      </c>
      <c r="R106" s="26">
        <f t="shared" si="52"/>
        <v>2045000000</v>
      </c>
      <c r="S106" s="19">
        <f t="shared" si="53"/>
        <v>432500000.00000012</v>
      </c>
      <c r="T106" s="23">
        <f t="shared" si="33"/>
        <v>568055555.55555558</v>
      </c>
      <c r="U106" s="23">
        <f t="shared" si="33"/>
        <v>120138888.88888893</v>
      </c>
      <c r="V106" s="6">
        <v>20.45</v>
      </c>
      <c r="W106" s="13">
        <f t="shared" si="58"/>
        <v>4.3250000000000011</v>
      </c>
      <c r="X106" s="6">
        <f t="shared" si="54"/>
        <v>5.6805555555555554</v>
      </c>
      <c r="Y106" s="6"/>
      <c r="AA106" s="24">
        <f t="shared" si="55"/>
        <v>170416666.66666669</v>
      </c>
      <c r="AB106" s="24">
        <f t="shared" si="56"/>
        <v>36041666.666666679</v>
      </c>
      <c r="AC106" s="25">
        <f t="shared" si="50"/>
        <v>3.4920016939196483E-2</v>
      </c>
      <c r="AG106" s="25">
        <v>0</v>
      </c>
      <c r="AI106" s="27">
        <f t="shared" si="47"/>
        <v>0.27855022831050225</v>
      </c>
      <c r="AJ106" s="20">
        <v>244010000</v>
      </c>
      <c r="AK106" s="13"/>
      <c r="AL106" s="13">
        <v>20</v>
      </c>
      <c r="AM106" s="20">
        <f t="shared" si="51"/>
        <v>4880200000</v>
      </c>
      <c r="AN106" s="20">
        <f t="shared" si="45"/>
        <v>48802000</v>
      </c>
      <c r="AS106" s="25">
        <f t="shared" si="34"/>
        <v>0.41904020327035779</v>
      </c>
      <c r="AT106" s="25"/>
      <c r="AU106" s="25">
        <f t="shared" si="25"/>
        <v>0.11640005646398828</v>
      </c>
      <c r="AV106" s="50">
        <f t="shared" si="57"/>
        <v>7.3852847560892335E-3</v>
      </c>
      <c r="AX106" s="29"/>
      <c r="AY106" s="25"/>
      <c r="BA106" s="18" t="s">
        <v>155</v>
      </c>
    </row>
    <row r="107" spans="1:53">
      <c r="A107" s="17" t="str">
        <f t="shared" si="31"/>
        <v>\cite{Zhang2017}</v>
      </c>
      <c r="B107" s="13" t="s">
        <v>154</v>
      </c>
      <c r="C107" s="13">
        <v>2017</v>
      </c>
      <c r="E107" s="13">
        <f t="shared" si="32"/>
        <v>2017</v>
      </c>
      <c r="F107" s="12">
        <f>LOOKUP(E107,Total_wind_installed_capacity!$A$3:$A$34,Total_wind_installed_capacity!$H$3:$H$34)</f>
        <v>530.78719999999998</v>
      </c>
      <c r="G107" s="18" t="s">
        <v>27</v>
      </c>
      <c r="H107" s="13" t="s">
        <v>33</v>
      </c>
      <c r="I107" s="18" t="s">
        <v>19</v>
      </c>
      <c r="L107" s="20">
        <v>52800</v>
      </c>
      <c r="M107" s="18"/>
      <c r="N107" s="13" t="s">
        <v>24</v>
      </c>
      <c r="Q107" s="13" t="s">
        <v>20</v>
      </c>
      <c r="R107" s="26">
        <f t="shared" si="52"/>
        <v>1114080000</v>
      </c>
      <c r="S107" s="19">
        <f t="shared" si="53"/>
        <v>80519999.999999925</v>
      </c>
      <c r="T107" s="23">
        <f t="shared" si="33"/>
        <v>309466666.66666669</v>
      </c>
      <c r="U107" s="23">
        <f t="shared" si="33"/>
        <v>22366666.666666646</v>
      </c>
      <c r="V107" s="13">
        <f>21.1</f>
        <v>21.1</v>
      </c>
      <c r="W107" s="13">
        <f>(22.65-19.6)/2</f>
        <v>1.5249999999999986</v>
      </c>
      <c r="X107" s="6">
        <f t="shared" si="54"/>
        <v>5.8611111111111116</v>
      </c>
      <c r="Y107" s="6"/>
      <c r="AA107" s="24">
        <f t="shared" si="55"/>
        <v>92840000.000000015</v>
      </c>
      <c r="AB107" s="24">
        <f t="shared" si="56"/>
        <v>6709999.9999999935</v>
      </c>
      <c r="AC107" s="25">
        <f t="shared" si="50"/>
        <v>4.1925578034682089E-2</v>
      </c>
      <c r="AG107" s="25">
        <v>0</v>
      </c>
      <c r="AI107" s="27">
        <f t="shared" si="47"/>
        <v>0.23938010239380103</v>
      </c>
      <c r="AJ107" s="20">
        <v>110720000</v>
      </c>
      <c r="AK107" s="13"/>
      <c r="AL107" s="13">
        <v>20</v>
      </c>
      <c r="AM107" s="20">
        <f t="shared" si="51"/>
        <v>2214400000</v>
      </c>
      <c r="AN107" s="20">
        <f t="shared" si="45"/>
        <v>41939393.939393938</v>
      </c>
      <c r="AS107" s="25">
        <f t="shared" si="34"/>
        <v>0.50310693641618498</v>
      </c>
      <c r="AT107" s="25"/>
      <c r="AU107" s="25">
        <f t="shared" si="25"/>
        <v>0.13975192678227361</v>
      </c>
      <c r="AV107" s="50">
        <f t="shared" si="57"/>
        <v>3.0301661849710952E-3</v>
      </c>
      <c r="AX107" s="29"/>
      <c r="AY107" s="25"/>
      <c r="BA107" s="18" t="s">
        <v>156</v>
      </c>
    </row>
    <row r="108" spans="1:53">
      <c r="A108" s="17" t="str">
        <f t="shared" si="31"/>
        <v>\cite{Zhang2017}</v>
      </c>
      <c r="B108" s="13" t="s">
        <v>154</v>
      </c>
      <c r="C108" s="13">
        <v>2017</v>
      </c>
      <c r="E108" s="13">
        <f t="shared" si="32"/>
        <v>2017</v>
      </c>
      <c r="F108" s="12">
        <f>LOOKUP(E108,Total_wind_installed_capacity!$A$3:$A$34,Total_wind_installed_capacity!$H$3:$H$34)</f>
        <v>530.78719999999998</v>
      </c>
      <c r="G108" s="18" t="s">
        <v>27</v>
      </c>
      <c r="H108" s="13" t="s">
        <v>33</v>
      </c>
      <c r="I108" s="18" t="s">
        <v>19</v>
      </c>
      <c r="L108" s="20">
        <v>50000</v>
      </c>
      <c r="M108" s="18"/>
      <c r="N108" s="13" t="s">
        <v>24</v>
      </c>
      <c r="Q108" s="13" t="s">
        <v>20</v>
      </c>
      <c r="R108" s="26">
        <f t="shared" si="52"/>
        <v>1055000000</v>
      </c>
      <c r="S108" s="19">
        <f t="shared" si="53"/>
        <v>76249999.999999925</v>
      </c>
      <c r="T108" s="23">
        <f t="shared" si="33"/>
        <v>293055555.55555552</v>
      </c>
      <c r="U108" s="23">
        <f t="shared" si="33"/>
        <v>21180555.555555534</v>
      </c>
      <c r="V108" s="13">
        <f t="shared" ref="V108:V114" si="59">21.1</f>
        <v>21.1</v>
      </c>
      <c r="W108" s="13">
        <f t="shared" ref="W108:W114" si="60">(22.65-19.6)/2</f>
        <v>1.5249999999999986</v>
      </c>
      <c r="X108" s="6">
        <f t="shared" si="54"/>
        <v>5.8611111111111116</v>
      </c>
      <c r="Y108" s="6"/>
      <c r="AA108" s="24">
        <f t="shared" si="55"/>
        <v>87916666.666666657</v>
      </c>
      <c r="AB108" s="24">
        <f t="shared" si="56"/>
        <v>6354166.6666666595</v>
      </c>
      <c r="AC108" s="25">
        <f t="shared" si="50"/>
        <v>3.6628892036774711E-2</v>
      </c>
      <c r="AG108" s="25">
        <v>0</v>
      </c>
      <c r="AI108" s="27">
        <f t="shared" si="47"/>
        <v>0.27399543378995433</v>
      </c>
      <c r="AJ108" s="20">
        <v>120010000</v>
      </c>
      <c r="AK108" s="13"/>
      <c r="AL108" s="13">
        <v>20</v>
      </c>
      <c r="AM108" s="20">
        <f t="shared" si="51"/>
        <v>2400200000</v>
      </c>
      <c r="AN108" s="20">
        <f t="shared" si="45"/>
        <v>48004000</v>
      </c>
      <c r="AS108" s="25">
        <f t="shared" si="34"/>
        <v>0.43954670444129657</v>
      </c>
      <c r="AT108" s="25"/>
      <c r="AU108" s="25">
        <f t="shared" ref="AU108:AU122" si="61">T108/AM108</f>
        <v>0.12209630678924903</v>
      </c>
      <c r="AV108" s="50">
        <f t="shared" si="57"/>
        <v>2.6473488320417713E-3</v>
      </c>
      <c r="AX108" s="29"/>
      <c r="AY108" s="25"/>
      <c r="BA108" s="18" t="s">
        <v>156</v>
      </c>
    </row>
    <row r="109" spans="1:53">
      <c r="A109" s="17" t="str">
        <f t="shared" si="31"/>
        <v>\cite{Zhang2017}</v>
      </c>
      <c r="B109" s="13" t="s">
        <v>154</v>
      </c>
      <c r="C109" s="13">
        <v>2017</v>
      </c>
      <c r="E109" s="13">
        <f t="shared" si="32"/>
        <v>2017</v>
      </c>
      <c r="F109" s="12">
        <f>LOOKUP(E109,Total_wind_installed_capacity!$A$3:$A$34,Total_wind_installed_capacity!$H$3:$H$34)</f>
        <v>530.78719999999998</v>
      </c>
      <c r="G109" s="18" t="s">
        <v>27</v>
      </c>
      <c r="H109" s="13" t="s">
        <v>33</v>
      </c>
      <c r="I109" s="18" t="s">
        <v>19</v>
      </c>
      <c r="L109" s="20">
        <v>130000</v>
      </c>
      <c r="M109" s="18"/>
      <c r="N109" s="13" t="s">
        <v>24</v>
      </c>
      <c r="Q109" s="13" t="s">
        <v>20</v>
      </c>
      <c r="R109" s="26">
        <f t="shared" si="52"/>
        <v>2743000000</v>
      </c>
      <c r="S109" s="19">
        <f t="shared" si="53"/>
        <v>198249999.99999982</v>
      </c>
      <c r="T109" s="23">
        <f t="shared" si="33"/>
        <v>761944444.44444442</v>
      </c>
      <c r="U109" s="23">
        <f t="shared" si="33"/>
        <v>55069444.444444396</v>
      </c>
      <c r="V109" s="13">
        <f t="shared" si="59"/>
        <v>21.1</v>
      </c>
      <c r="W109" s="13">
        <f t="shared" si="60"/>
        <v>1.5249999999999986</v>
      </c>
      <c r="X109" s="6">
        <f t="shared" si="54"/>
        <v>5.8611111111111116</v>
      </c>
      <c r="Y109" s="6"/>
      <c r="AA109" s="24">
        <f t="shared" si="55"/>
        <v>228583333.33333331</v>
      </c>
      <c r="AB109" s="24">
        <f t="shared" si="56"/>
        <v>16520833.333333317</v>
      </c>
      <c r="AC109" s="25">
        <f t="shared" si="50"/>
        <v>3.710888881673647E-2</v>
      </c>
      <c r="AG109" s="25">
        <v>0</v>
      </c>
      <c r="AI109" s="27">
        <f t="shared" si="47"/>
        <v>0.27045135230066736</v>
      </c>
      <c r="AJ109" s="20">
        <v>307990000</v>
      </c>
      <c r="AK109" s="13"/>
      <c r="AL109" s="13">
        <v>20</v>
      </c>
      <c r="AM109" s="20">
        <f t="shared" si="51"/>
        <v>6159800000</v>
      </c>
      <c r="AN109" s="20">
        <f t="shared" si="45"/>
        <v>47383076.92307692</v>
      </c>
      <c r="AS109" s="25">
        <f t="shared" si="34"/>
        <v>0.44530666580083766</v>
      </c>
      <c r="AT109" s="25"/>
      <c r="AU109" s="25">
        <f t="shared" si="61"/>
        <v>0.12369629605578825</v>
      </c>
      <c r="AV109" s="50">
        <f t="shared" si="57"/>
        <v>2.6820405424418515E-3</v>
      </c>
      <c r="AX109" s="29"/>
      <c r="AY109" s="25"/>
      <c r="BA109" s="18" t="s">
        <v>156</v>
      </c>
    </row>
    <row r="110" spans="1:53">
      <c r="A110" s="17" t="str">
        <f t="shared" si="31"/>
        <v>\cite{Zhang2017}</v>
      </c>
      <c r="B110" s="13" t="s">
        <v>154</v>
      </c>
      <c r="C110" s="13">
        <v>2017</v>
      </c>
      <c r="E110" s="13">
        <f t="shared" si="32"/>
        <v>2017</v>
      </c>
      <c r="F110" s="12">
        <f>LOOKUP(E110,Total_wind_installed_capacity!$A$3:$A$34,Total_wind_installed_capacity!$H$3:$H$34)</f>
        <v>530.78719999999998</v>
      </c>
      <c r="G110" s="18" t="s">
        <v>27</v>
      </c>
      <c r="H110" s="13" t="s">
        <v>33</v>
      </c>
      <c r="I110" s="18" t="s">
        <v>19</v>
      </c>
      <c r="L110" s="20">
        <v>49500</v>
      </c>
      <c r="M110" s="18"/>
      <c r="N110" s="13" t="s">
        <v>24</v>
      </c>
      <c r="Q110" s="13" t="s">
        <v>20</v>
      </c>
      <c r="R110" s="26">
        <f t="shared" si="52"/>
        <v>1044450000.0000001</v>
      </c>
      <c r="S110" s="19">
        <f t="shared" si="53"/>
        <v>75487499.999999925</v>
      </c>
      <c r="T110" s="23">
        <f t="shared" si="33"/>
        <v>290125000</v>
      </c>
      <c r="U110" s="23">
        <f t="shared" si="33"/>
        <v>20968749.999999978</v>
      </c>
      <c r="V110" s="13">
        <f t="shared" si="59"/>
        <v>21.1</v>
      </c>
      <c r="W110" s="13">
        <f t="shared" si="60"/>
        <v>1.5249999999999986</v>
      </c>
      <c r="X110" s="6">
        <f t="shared" si="54"/>
        <v>5.8611111111111116</v>
      </c>
      <c r="Y110" s="6"/>
      <c r="AA110" s="24">
        <f t="shared" si="55"/>
        <v>87037500</v>
      </c>
      <c r="AB110" s="24">
        <f t="shared" si="56"/>
        <v>6290624.9999999925</v>
      </c>
      <c r="AC110" s="25">
        <f t="shared" si="50"/>
        <v>4.8039242742024507E-2</v>
      </c>
      <c r="AG110" s="25">
        <v>0</v>
      </c>
      <c r="AI110" s="27">
        <f t="shared" si="47"/>
        <v>0.20891564042248975</v>
      </c>
      <c r="AJ110" s="20">
        <v>90590000</v>
      </c>
      <c r="AK110" s="13"/>
      <c r="AL110" s="13">
        <v>20</v>
      </c>
      <c r="AM110" s="20">
        <f t="shared" si="51"/>
        <v>1811800000</v>
      </c>
      <c r="AN110" s="20">
        <f t="shared" si="45"/>
        <v>36602020.202020206</v>
      </c>
      <c r="AS110" s="25">
        <f t="shared" si="34"/>
        <v>0.57647091290429409</v>
      </c>
      <c r="AT110" s="25"/>
      <c r="AU110" s="25">
        <f t="shared" si="61"/>
        <v>0.16013080914008168</v>
      </c>
      <c r="AV110" s="50">
        <f t="shared" si="57"/>
        <v>3.4720305773264116E-3</v>
      </c>
      <c r="AX110" s="29"/>
      <c r="AY110" s="25"/>
      <c r="BA110" s="18" t="s">
        <v>156</v>
      </c>
    </row>
    <row r="111" spans="1:53">
      <c r="A111" s="17" t="str">
        <f t="shared" si="31"/>
        <v>\cite{Zhang2017}</v>
      </c>
      <c r="B111" s="13" t="s">
        <v>154</v>
      </c>
      <c r="C111" s="13">
        <v>2017</v>
      </c>
      <c r="E111" s="13">
        <f t="shared" si="32"/>
        <v>2017</v>
      </c>
      <c r="F111" s="12">
        <f>LOOKUP(E111,Total_wind_installed_capacity!$A$3:$A$34,Total_wind_installed_capacity!$H$3:$H$34)</f>
        <v>530.78719999999998</v>
      </c>
      <c r="G111" s="18" t="s">
        <v>27</v>
      </c>
      <c r="H111" s="13" t="s">
        <v>33</v>
      </c>
      <c r="I111" s="18" t="s">
        <v>19</v>
      </c>
      <c r="L111" s="20">
        <v>100000</v>
      </c>
      <c r="M111" s="18"/>
      <c r="N111" s="13" t="s">
        <v>24</v>
      </c>
      <c r="Q111" s="13" t="s">
        <v>35</v>
      </c>
      <c r="R111" s="26">
        <f t="shared" si="52"/>
        <v>2110000000</v>
      </c>
      <c r="S111" s="19">
        <f t="shared" si="53"/>
        <v>152499999.99999985</v>
      </c>
      <c r="T111" s="23">
        <f t="shared" si="33"/>
        <v>586111111.11111104</v>
      </c>
      <c r="U111" s="23">
        <f t="shared" si="33"/>
        <v>42361111.111111067</v>
      </c>
      <c r="V111" s="13">
        <f t="shared" si="59"/>
        <v>21.1</v>
      </c>
      <c r="W111" s="13">
        <f t="shared" si="60"/>
        <v>1.5249999999999986</v>
      </c>
      <c r="X111" s="6">
        <f t="shared" si="54"/>
        <v>5.8611111111111116</v>
      </c>
      <c r="Y111" s="6"/>
      <c r="AA111" s="24">
        <f t="shared" si="55"/>
        <v>175833333.33333331</v>
      </c>
      <c r="AB111" s="24">
        <f t="shared" si="56"/>
        <v>12708333.333333319</v>
      </c>
      <c r="AC111" s="25">
        <f t="shared" si="50"/>
        <v>4.5113232074438965E-2</v>
      </c>
      <c r="AG111" s="25">
        <v>0</v>
      </c>
      <c r="AI111" s="27">
        <f t="shared" si="47"/>
        <v>0.22246575342465752</v>
      </c>
      <c r="AJ111" s="20">
        <v>194880000</v>
      </c>
      <c r="AK111" s="13"/>
      <c r="AL111" s="13">
        <v>20</v>
      </c>
      <c r="AM111" s="20">
        <f t="shared" si="51"/>
        <v>3897600000</v>
      </c>
      <c r="AN111" s="20">
        <f t="shared" si="45"/>
        <v>38976000</v>
      </c>
      <c r="AS111" s="25">
        <f t="shared" si="34"/>
        <v>0.54135878489326761</v>
      </c>
      <c r="AT111" s="25"/>
      <c r="AU111" s="25">
        <f t="shared" si="61"/>
        <v>0.15037744024812988</v>
      </c>
      <c r="AV111" s="50">
        <f t="shared" si="57"/>
        <v>3.2605535030103957E-3</v>
      </c>
      <c r="AX111" s="29"/>
      <c r="AY111" s="25"/>
      <c r="BA111" s="18" t="s">
        <v>156</v>
      </c>
    </row>
    <row r="112" spans="1:53">
      <c r="A112" s="17" t="str">
        <f t="shared" si="31"/>
        <v>\cite{Zhang2017}</v>
      </c>
      <c r="B112" s="13" t="s">
        <v>154</v>
      </c>
      <c r="C112" s="13">
        <v>2017</v>
      </c>
      <c r="E112" s="13">
        <f t="shared" si="32"/>
        <v>2017</v>
      </c>
      <c r="F112" s="12">
        <f>LOOKUP(E112,Total_wind_installed_capacity!$A$3:$A$34,Total_wind_installed_capacity!$H$3:$H$34)</f>
        <v>530.78719999999998</v>
      </c>
      <c r="G112" s="18" t="s">
        <v>27</v>
      </c>
      <c r="H112" s="13" t="s">
        <v>33</v>
      </c>
      <c r="I112" s="18" t="s">
        <v>19</v>
      </c>
      <c r="L112" s="20">
        <v>86000</v>
      </c>
      <c r="M112" s="18"/>
      <c r="N112" s="13" t="s">
        <v>24</v>
      </c>
      <c r="Q112" s="13" t="s">
        <v>35</v>
      </c>
      <c r="R112" s="26">
        <f t="shared" si="52"/>
        <v>1814600000.0000002</v>
      </c>
      <c r="S112" s="19">
        <f t="shared" si="53"/>
        <v>131149999.99999988</v>
      </c>
      <c r="T112" s="23">
        <f t="shared" si="33"/>
        <v>504055555.55555558</v>
      </c>
      <c r="U112" s="23">
        <f t="shared" si="33"/>
        <v>36430555.555555522</v>
      </c>
      <c r="V112" s="13">
        <f t="shared" si="59"/>
        <v>21.1</v>
      </c>
      <c r="W112" s="13">
        <f t="shared" si="60"/>
        <v>1.5249999999999986</v>
      </c>
      <c r="X112" s="6">
        <f t="shared" si="54"/>
        <v>5.8611111111111116</v>
      </c>
      <c r="Y112" s="6"/>
      <c r="AA112" s="24">
        <f t="shared" si="55"/>
        <v>151216666.66666669</v>
      </c>
      <c r="AB112" s="24">
        <f t="shared" si="56"/>
        <v>10929166.666666657</v>
      </c>
      <c r="AC112" s="25">
        <f t="shared" si="50"/>
        <v>3.996212121212122E-2</v>
      </c>
      <c r="AG112" s="25">
        <v>0</v>
      </c>
      <c r="AI112" s="27">
        <f t="shared" si="47"/>
        <v>0.25114155251141551</v>
      </c>
      <c r="AJ112" s="20">
        <v>189200000</v>
      </c>
      <c r="AK112" s="13"/>
      <c r="AL112" s="13">
        <v>20</v>
      </c>
      <c r="AM112" s="20">
        <f t="shared" si="51"/>
        <v>3784000000</v>
      </c>
      <c r="AN112" s="20">
        <f t="shared" si="45"/>
        <v>44000000</v>
      </c>
      <c r="AS112" s="25">
        <f t="shared" si="34"/>
        <v>0.47954545454545461</v>
      </c>
      <c r="AT112" s="25"/>
      <c r="AU112" s="25">
        <f t="shared" si="61"/>
        <v>0.13320707070707072</v>
      </c>
      <c r="AV112" s="50">
        <f t="shared" si="57"/>
        <v>2.8882575757575731E-3</v>
      </c>
      <c r="AX112" s="29"/>
      <c r="AY112" s="25"/>
      <c r="BA112" s="18" t="s">
        <v>156</v>
      </c>
    </row>
    <row r="113" spans="1:53">
      <c r="A113" s="17" t="str">
        <f t="shared" si="31"/>
        <v>\cite{Zhang2017}</v>
      </c>
      <c r="B113" s="13" t="s">
        <v>154</v>
      </c>
      <c r="C113" s="13">
        <v>2017</v>
      </c>
      <c r="E113" s="13">
        <f t="shared" si="32"/>
        <v>2017</v>
      </c>
      <c r="F113" s="12">
        <f>LOOKUP(E113,Total_wind_installed_capacity!$A$3:$A$34,Total_wind_installed_capacity!$H$3:$H$34)</f>
        <v>530.78719999999998</v>
      </c>
      <c r="G113" s="18" t="s">
        <v>27</v>
      </c>
      <c r="H113" s="13" t="s">
        <v>33</v>
      </c>
      <c r="I113" s="18" t="s">
        <v>19</v>
      </c>
      <c r="L113" s="20">
        <v>24000</v>
      </c>
      <c r="M113" s="18"/>
      <c r="N113" s="13" t="s">
        <v>24</v>
      </c>
      <c r="Q113" s="13" t="s">
        <v>35</v>
      </c>
      <c r="R113" s="26">
        <f t="shared" si="52"/>
        <v>506400000.00000006</v>
      </c>
      <c r="S113" s="19">
        <f t="shared" si="53"/>
        <v>36599999.999999963</v>
      </c>
      <c r="T113" s="23">
        <f t="shared" si="33"/>
        <v>140666666.66666669</v>
      </c>
      <c r="U113" s="23">
        <f t="shared" si="33"/>
        <v>10166666.666666657</v>
      </c>
      <c r="V113" s="13">
        <f t="shared" si="59"/>
        <v>21.1</v>
      </c>
      <c r="W113" s="13">
        <f t="shared" si="60"/>
        <v>1.5249999999999986</v>
      </c>
      <c r="X113" s="6">
        <f t="shared" si="54"/>
        <v>5.8611111111111116</v>
      </c>
      <c r="Y113" s="6"/>
      <c r="AA113" s="24">
        <f t="shared" si="55"/>
        <v>42200000.000000007</v>
      </c>
      <c r="AB113" s="24">
        <f t="shared" si="56"/>
        <v>3049999.9999999972</v>
      </c>
      <c r="AC113" s="25">
        <f t="shared" si="50"/>
        <v>2.7092963533641504E-2</v>
      </c>
      <c r="AG113" s="25">
        <v>0</v>
      </c>
      <c r="AI113" s="27">
        <f t="shared" si="47"/>
        <v>0.3704337899543379</v>
      </c>
      <c r="AJ113" s="20">
        <v>77880000</v>
      </c>
      <c r="AK113" s="13"/>
      <c r="AL113" s="13">
        <v>20</v>
      </c>
      <c r="AM113" s="20">
        <f t="shared" si="51"/>
        <v>1557600000</v>
      </c>
      <c r="AN113" s="20">
        <f t="shared" si="45"/>
        <v>64900000</v>
      </c>
      <c r="AS113" s="25">
        <f t="shared" si="34"/>
        <v>0.32511556240369804</v>
      </c>
      <c r="AT113" s="25"/>
      <c r="AU113" s="25">
        <f t="shared" si="61"/>
        <v>9.0309878445471684E-2</v>
      </c>
      <c r="AV113" s="50">
        <f t="shared" si="57"/>
        <v>1.9581407293271682E-3</v>
      </c>
      <c r="AX113" s="29"/>
      <c r="AY113" s="25"/>
      <c r="BA113" s="18" t="s">
        <v>156</v>
      </c>
    </row>
    <row r="114" spans="1:53">
      <c r="A114" s="17" t="str">
        <f t="shared" si="31"/>
        <v>\cite{Zhang2017}</v>
      </c>
      <c r="B114" s="13" t="s">
        <v>154</v>
      </c>
      <c r="C114" s="13">
        <v>2017</v>
      </c>
      <c r="E114" s="13">
        <f t="shared" si="32"/>
        <v>2017</v>
      </c>
      <c r="F114" s="12">
        <f>LOOKUP(E114,Total_wind_installed_capacity!$A$3:$A$34,Total_wind_installed_capacity!$H$3:$H$34)</f>
        <v>530.78719999999998</v>
      </c>
      <c r="G114" s="18" t="s">
        <v>27</v>
      </c>
      <c r="H114" s="13" t="s">
        <v>33</v>
      </c>
      <c r="I114" s="18" t="s">
        <v>19</v>
      </c>
      <c r="L114" s="20">
        <v>34000</v>
      </c>
      <c r="N114" s="13" t="s">
        <v>24</v>
      </c>
      <c r="Q114" s="13" t="s">
        <v>20</v>
      </c>
      <c r="R114" s="26">
        <f t="shared" si="52"/>
        <v>717400000</v>
      </c>
      <c r="S114" s="19">
        <f t="shared" si="53"/>
        <v>51849999.999999948</v>
      </c>
      <c r="T114" s="23">
        <f t="shared" si="33"/>
        <v>199277777.77777776</v>
      </c>
      <c r="U114" s="23">
        <f t="shared" si="33"/>
        <v>14402777.777777763</v>
      </c>
      <c r="V114" s="13">
        <f t="shared" si="59"/>
        <v>21.1</v>
      </c>
      <c r="W114" s="13">
        <f t="shared" si="60"/>
        <v>1.5249999999999986</v>
      </c>
      <c r="X114" s="6">
        <f t="shared" si="54"/>
        <v>5.8611111111111116</v>
      </c>
      <c r="Y114" s="6"/>
      <c r="AA114" s="24">
        <f t="shared" si="55"/>
        <v>59783333.333333328</v>
      </c>
      <c r="AB114" s="24">
        <f t="shared" si="56"/>
        <v>4320833.3333333293</v>
      </c>
      <c r="AC114" s="25">
        <f t="shared" si="50"/>
        <v>4.285543608124253E-2</v>
      </c>
      <c r="AE114" s="32"/>
      <c r="AG114" s="25">
        <v>0</v>
      </c>
      <c r="AI114" s="27">
        <f t="shared" si="47"/>
        <v>0.23418614020950845</v>
      </c>
      <c r="AJ114" s="20">
        <v>69750000</v>
      </c>
      <c r="AL114" s="13">
        <v>20</v>
      </c>
      <c r="AM114" s="20">
        <f t="shared" si="51"/>
        <v>1395000000</v>
      </c>
      <c r="AN114" s="20">
        <f t="shared" si="45"/>
        <v>41029411.764705881</v>
      </c>
      <c r="AS114" s="25">
        <f t="shared" si="34"/>
        <v>0.51426523297491045</v>
      </c>
      <c r="AT114" s="25"/>
      <c r="AU114" s="25">
        <f t="shared" si="61"/>
        <v>0.14285145360414175</v>
      </c>
      <c r="AV114" s="50">
        <f t="shared" si="57"/>
        <v>3.0973715651134979E-3</v>
      </c>
      <c r="AW114" s="6"/>
      <c r="AX114" s="29"/>
      <c r="AY114" s="25"/>
      <c r="AZ114" s="6"/>
      <c r="BA114" s="18" t="s">
        <v>156</v>
      </c>
    </row>
    <row r="115" spans="1:53">
      <c r="A115" s="17" t="str">
        <f t="shared" si="31"/>
        <v>\cite{Zhang2017}</v>
      </c>
      <c r="B115" s="13" t="s">
        <v>154</v>
      </c>
      <c r="C115" s="13">
        <v>2017</v>
      </c>
      <c r="E115" s="13">
        <f t="shared" si="32"/>
        <v>2017</v>
      </c>
      <c r="F115" s="12">
        <f>LOOKUP(E115,Total_wind_installed_capacity!$A$3:$A$34,Total_wind_installed_capacity!$H$3:$H$34)</f>
        <v>530.78719999999998</v>
      </c>
      <c r="G115" s="18" t="s">
        <v>27</v>
      </c>
      <c r="H115" s="13" t="s">
        <v>33</v>
      </c>
      <c r="I115" s="18" t="s">
        <v>19</v>
      </c>
      <c r="L115" s="20">
        <v>100000</v>
      </c>
      <c r="N115" s="13" t="s">
        <v>31</v>
      </c>
      <c r="Q115" s="13" t="s">
        <v>35</v>
      </c>
      <c r="R115" s="26">
        <f t="shared" si="52"/>
        <v>4385000000</v>
      </c>
      <c r="S115" s="19">
        <f t="shared" si="53"/>
        <v>467499999.9999997</v>
      </c>
      <c r="T115" s="23">
        <f t="shared" si="33"/>
        <v>1218055555.5555556</v>
      </c>
      <c r="U115" s="23">
        <f t="shared" si="33"/>
        <v>129861111.11111103</v>
      </c>
      <c r="V115" s="25">
        <f>43.85</f>
        <v>43.85</v>
      </c>
      <c r="W115" s="25">
        <f>(48.55-39.2)/2</f>
        <v>4.6749999999999972</v>
      </c>
      <c r="X115" s="6">
        <f t="shared" si="54"/>
        <v>12.180555555555555</v>
      </c>
      <c r="Y115" s="6"/>
      <c r="AA115" s="24">
        <f t="shared" si="55"/>
        <v>365416666.66666669</v>
      </c>
      <c r="AB115" s="24">
        <f t="shared" si="56"/>
        <v>38958333.333333306</v>
      </c>
      <c r="AC115" s="25">
        <f t="shared" si="50"/>
        <v>5.5297458712912244E-2</v>
      </c>
      <c r="AE115" s="32"/>
      <c r="AG115" s="25">
        <v>0</v>
      </c>
      <c r="AI115" s="27">
        <f t="shared" si="47"/>
        <v>0.37718036529680365</v>
      </c>
      <c r="AJ115" s="20">
        <v>330410000</v>
      </c>
      <c r="AL115" s="13">
        <v>20</v>
      </c>
      <c r="AM115" s="20">
        <f t="shared" si="51"/>
        <v>6608200000</v>
      </c>
      <c r="AN115" s="20">
        <f t="shared" si="45"/>
        <v>66082000</v>
      </c>
      <c r="AS115" s="25">
        <f t="shared" si="34"/>
        <v>0.6635695045549469</v>
      </c>
      <c r="AT115" s="25"/>
      <c r="AU115" s="25">
        <f t="shared" si="61"/>
        <v>0.18432486237637413</v>
      </c>
      <c r="AV115" s="50">
        <f t="shared" si="57"/>
        <v>5.8954531238965685E-3</v>
      </c>
      <c r="AW115" s="6"/>
      <c r="AX115" s="29"/>
      <c r="AY115" s="25"/>
      <c r="AZ115" s="6"/>
    </row>
    <row r="116" spans="1:53">
      <c r="A116" s="17" t="str">
        <f t="shared" si="31"/>
        <v>\cite{Zhang2017}</v>
      </c>
      <c r="B116" s="13" t="s">
        <v>154</v>
      </c>
      <c r="C116" s="13">
        <v>2017</v>
      </c>
      <c r="E116" s="13">
        <f t="shared" si="32"/>
        <v>2017</v>
      </c>
      <c r="F116" s="12">
        <f>LOOKUP(E116,Total_wind_installed_capacity!$A$3:$A$34,Total_wind_installed_capacity!$H$3:$H$34)</f>
        <v>530.78719999999998</v>
      </c>
      <c r="G116" s="18" t="s">
        <v>27</v>
      </c>
      <c r="H116" s="13" t="s">
        <v>33</v>
      </c>
      <c r="I116" s="18" t="s">
        <v>19</v>
      </c>
      <c r="L116" s="20">
        <v>200000</v>
      </c>
      <c r="N116" s="13" t="s">
        <v>31</v>
      </c>
      <c r="Q116" s="13" t="s">
        <v>35</v>
      </c>
      <c r="R116" s="26">
        <f t="shared" si="52"/>
        <v>8770000000</v>
      </c>
      <c r="S116" s="19">
        <f t="shared" si="53"/>
        <v>934999999.9999994</v>
      </c>
      <c r="T116" s="23">
        <f t="shared" si="33"/>
        <v>2436111111.1111112</v>
      </c>
      <c r="U116" s="23">
        <f t="shared" si="33"/>
        <v>259722222.22222206</v>
      </c>
      <c r="V116" s="25">
        <f t="shared" ref="V116:V122" si="62">43.85</f>
        <v>43.85</v>
      </c>
      <c r="W116" s="25">
        <f t="shared" ref="W116:W122" si="63">(48.55-39.2)/2</f>
        <v>4.6749999999999972</v>
      </c>
      <c r="X116" s="6">
        <f t="shared" si="54"/>
        <v>12.180555555555555</v>
      </c>
      <c r="Y116" s="6"/>
      <c r="AA116" s="24">
        <f t="shared" si="55"/>
        <v>730833333.33333337</v>
      </c>
      <c r="AB116" s="24">
        <f t="shared" si="56"/>
        <v>77916666.666666612</v>
      </c>
      <c r="AC116" s="25">
        <f t="shared" si="50"/>
        <v>6.2859813298470152E-2</v>
      </c>
      <c r="AE116" s="32"/>
      <c r="AG116" s="25">
        <v>0</v>
      </c>
      <c r="AI116" s="27">
        <f t="shared" si="47"/>
        <v>0.33180365296803654</v>
      </c>
      <c r="AJ116" s="20">
        <v>581320000</v>
      </c>
      <c r="AL116" s="13">
        <v>20</v>
      </c>
      <c r="AM116" s="20">
        <f t="shared" si="51"/>
        <v>11626400000</v>
      </c>
      <c r="AN116" s="20">
        <f t="shared" si="45"/>
        <v>58132000</v>
      </c>
      <c r="AS116" s="25">
        <f t="shared" si="34"/>
        <v>0.75431775958164182</v>
      </c>
      <c r="AT116" s="25"/>
      <c r="AU116" s="25">
        <f t="shared" si="61"/>
        <v>0.20953271099490051</v>
      </c>
      <c r="AV116" s="50">
        <f t="shared" si="57"/>
        <v>6.7017018738961855E-3</v>
      </c>
      <c r="AW116" s="6"/>
      <c r="AX116" s="29"/>
      <c r="AY116" s="25"/>
      <c r="AZ116" s="6"/>
    </row>
    <row r="117" spans="1:53">
      <c r="A117" s="17" t="str">
        <f t="shared" si="31"/>
        <v>\cite{Zhang2017}</v>
      </c>
      <c r="B117" s="13" t="s">
        <v>154</v>
      </c>
      <c r="C117" s="13">
        <v>2017</v>
      </c>
      <c r="E117" s="13">
        <f t="shared" si="32"/>
        <v>2017</v>
      </c>
      <c r="F117" s="12">
        <f>LOOKUP(E117,Total_wind_installed_capacity!$A$3:$A$34,Total_wind_installed_capacity!$H$3:$H$34)</f>
        <v>530.78719999999998</v>
      </c>
      <c r="G117" s="18" t="s">
        <v>27</v>
      </c>
      <c r="H117" s="13" t="s">
        <v>33</v>
      </c>
      <c r="I117" s="18" t="s">
        <v>19</v>
      </c>
      <c r="L117" s="20">
        <v>300000</v>
      </c>
      <c r="N117" s="13" t="s">
        <v>31</v>
      </c>
      <c r="Q117" s="13" t="s">
        <v>20</v>
      </c>
      <c r="R117" s="26">
        <f t="shared" si="52"/>
        <v>13155000000</v>
      </c>
      <c r="S117" s="19">
        <f t="shared" si="53"/>
        <v>1402499999.999999</v>
      </c>
      <c r="T117" s="23">
        <f t="shared" si="33"/>
        <v>3654166666.6666665</v>
      </c>
      <c r="U117" s="23">
        <f t="shared" si="33"/>
        <v>389583333.33333308</v>
      </c>
      <c r="V117" s="25">
        <f t="shared" si="62"/>
        <v>43.85</v>
      </c>
      <c r="W117" s="25">
        <f t="shared" si="63"/>
        <v>4.6749999999999972</v>
      </c>
      <c r="X117" s="6">
        <f t="shared" si="54"/>
        <v>12.180555555555555</v>
      </c>
      <c r="Y117" s="6"/>
      <c r="AA117" s="24">
        <f t="shared" si="55"/>
        <v>1096250000</v>
      </c>
      <c r="AB117" s="24">
        <f t="shared" si="56"/>
        <v>116874999.99999993</v>
      </c>
      <c r="AC117" s="25">
        <f t="shared" si="50"/>
        <v>7.3480126013807892E-2</v>
      </c>
      <c r="AE117" s="32"/>
      <c r="AG117" s="25">
        <v>0</v>
      </c>
      <c r="AI117" s="27">
        <f t="shared" si="47"/>
        <v>0.28384703196347033</v>
      </c>
      <c r="AJ117" s="20">
        <v>745950000</v>
      </c>
      <c r="AL117" s="13">
        <v>20</v>
      </c>
      <c r="AM117" s="20">
        <f t="shared" si="51"/>
        <v>14919000000</v>
      </c>
      <c r="AN117" s="20">
        <f t="shared" si="45"/>
        <v>49730000</v>
      </c>
      <c r="AS117" s="25">
        <f t="shared" si="34"/>
        <v>0.88176151216569476</v>
      </c>
      <c r="AT117" s="25"/>
      <c r="AU117" s="25">
        <f t="shared" si="61"/>
        <v>0.24493375337935963</v>
      </c>
      <c r="AV117" s="50">
        <f t="shared" si="57"/>
        <v>7.833970105234931E-3</v>
      </c>
      <c r="AW117" s="6"/>
      <c r="AX117" s="29"/>
      <c r="AY117" s="25"/>
      <c r="AZ117" s="6"/>
    </row>
    <row r="118" spans="1:53">
      <c r="A118" s="17" t="str">
        <f t="shared" si="31"/>
        <v>\cite{Zhang2017}</v>
      </c>
      <c r="B118" s="13" t="s">
        <v>154</v>
      </c>
      <c r="C118" s="13">
        <v>2017</v>
      </c>
      <c r="E118" s="13">
        <f t="shared" si="32"/>
        <v>2017</v>
      </c>
      <c r="F118" s="12">
        <f>LOOKUP(E118,Total_wind_installed_capacity!$A$3:$A$34,Total_wind_installed_capacity!$H$3:$H$34)</f>
        <v>530.78719999999998</v>
      </c>
      <c r="G118" s="18" t="s">
        <v>27</v>
      </c>
      <c r="H118" s="13" t="s">
        <v>33</v>
      </c>
      <c r="I118" s="18" t="s">
        <v>19</v>
      </c>
      <c r="L118" s="20">
        <v>102000</v>
      </c>
      <c r="N118" s="13" t="s">
        <v>31</v>
      </c>
      <c r="Q118" s="13" t="s">
        <v>20</v>
      </c>
      <c r="R118" s="26">
        <f t="shared" si="52"/>
        <v>4472700000</v>
      </c>
      <c r="S118" s="19">
        <f t="shared" si="53"/>
        <v>476849999.9999997</v>
      </c>
      <c r="T118" s="23">
        <f t="shared" si="33"/>
        <v>1242416666.6666667</v>
      </c>
      <c r="U118" s="23">
        <f t="shared" si="33"/>
        <v>132458333.33333325</v>
      </c>
      <c r="V118" s="25">
        <f t="shared" si="62"/>
        <v>43.85</v>
      </c>
      <c r="W118" s="25">
        <f t="shared" si="63"/>
        <v>4.6749999999999972</v>
      </c>
      <c r="X118" s="6">
        <f t="shared" si="54"/>
        <v>12.180555555555555</v>
      </c>
      <c r="Y118" s="6"/>
      <c r="AA118" s="24">
        <f t="shared" si="55"/>
        <v>372725000.00000006</v>
      </c>
      <c r="AB118" s="24">
        <f t="shared" si="56"/>
        <v>39737499.999999978</v>
      </c>
      <c r="AC118" s="25">
        <f t="shared" si="50"/>
        <v>6.7805166454429702E-2</v>
      </c>
      <c r="AE118" s="32"/>
      <c r="AG118" s="25">
        <v>0</v>
      </c>
      <c r="AI118" s="27">
        <f t="shared" si="47"/>
        <v>0.30760363506133048</v>
      </c>
      <c r="AJ118" s="20">
        <v>274850000</v>
      </c>
      <c r="AL118" s="13">
        <v>20</v>
      </c>
      <c r="AM118" s="20">
        <f t="shared" si="51"/>
        <v>5497000000</v>
      </c>
      <c r="AN118" s="20">
        <f t="shared" si="45"/>
        <v>53892156.862745099</v>
      </c>
      <c r="AS118" s="25">
        <f t="shared" si="34"/>
        <v>0.81366199745315626</v>
      </c>
      <c r="AT118" s="25"/>
      <c r="AU118" s="25">
        <f t="shared" si="61"/>
        <v>0.22601722151476564</v>
      </c>
      <c r="AV118" s="50">
        <f t="shared" si="57"/>
        <v>7.2289430598508238E-3</v>
      </c>
      <c r="AW118" s="6"/>
      <c r="AX118" s="29"/>
      <c r="AY118" s="25"/>
      <c r="AZ118" s="6"/>
    </row>
    <row r="119" spans="1:53">
      <c r="A119" s="17" t="str">
        <f t="shared" si="31"/>
        <v>\cite{Zhang2017}</v>
      </c>
      <c r="B119" s="13" t="s">
        <v>154</v>
      </c>
      <c r="C119" s="13">
        <v>2017</v>
      </c>
      <c r="E119" s="13">
        <f t="shared" si="32"/>
        <v>2017</v>
      </c>
      <c r="F119" s="12">
        <f>LOOKUP(E119,Total_wind_installed_capacity!$A$3:$A$34,Total_wind_installed_capacity!$H$3:$H$34)</f>
        <v>530.78719999999998</v>
      </c>
      <c r="G119" s="18" t="s">
        <v>27</v>
      </c>
      <c r="H119" s="13" t="s">
        <v>33</v>
      </c>
      <c r="I119" s="18" t="s">
        <v>19</v>
      </c>
      <c r="L119" s="51">
        <v>102200</v>
      </c>
      <c r="N119" s="13" t="s">
        <v>31</v>
      </c>
      <c r="Q119" s="13" t="s">
        <v>20</v>
      </c>
      <c r="R119" s="26">
        <f t="shared" si="52"/>
        <v>4481470000</v>
      </c>
      <c r="S119" s="19">
        <f t="shared" si="53"/>
        <v>477784999.9999997</v>
      </c>
      <c r="T119" s="23">
        <f t="shared" si="33"/>
        <v>1244852777.7777777</v>
      </c>
      <c r="U119" s="23">
        <f t="shared" si="33"/>
        <v>132718055.55555546</v>
      </c>
      <c r="V119" s="25">
        <f t="shared" si="62"/>
        <v>43.85</v>
      </c>
      <c r="W119" s="25">
        <f t="shared" si="63"/>
        <v>4.6749999999999972</v>
      </c>
      <c r="X119" s="6">
        <f t="shared" si="54"/>
        <v>12.180555555555555</v>
      </c>
      <c r="Y119" s="6"/>
      <c r="AA119" s="24">
        <f t="shared" si="55"/>
        <v>373455833.33333325</v>
      </c>
      <c r="AB119" s="24">
        <f t="shared" si="56"/>
        <v>39815416.666666634</v>
      </c>
      <c r="AC119" s="25">
        <f t="shared" si="50"/>
        <v>7.9148828698993992E-2</v>
      </c>
      <c r="AE119" s="32"/>
      <c r="AG119" s="25">
        <v>0</v>
      </c>
      <c r="AI119" s="27">
        <f t="shared" si="47"/>
        <v>0.26351767954320027</v>
      </c>
      <c r="AJ119" s="20">
        <v>235920000</v>
      </c>
      <c r="AL119" s="13">
        <v>20</v>
      </c>
      <c r="AM119" s="20">
        <f t="shared" si="51"/>
        <v>4718400000</v>
      </c>
      <c r="AN119" s="20">
        <f t="shared" si="45"/>
        <v>46168297.455968693</v>
      </c>
      <c r="AS119" s="25">
        <f t="shared" si="34"/>
        <v>0.94978594438792807</v>
      </c>
      <c r="AT119" s="25"/>
      <c r="AU119" s="25">
        <f t="shared" si="61"/>
        <v>0.26382942899664669</v>
      </c>
      <c r="AV119" s="50">
        <f t="shared" si="57"/>
        <v>8.4383300836441671E-3</v>
      </c>
      <c r="AW119" s="6"/>
      <c r="AX119" s="29"/>
      <c r="AY119" s="25"/>
      <c r="AZ119" s="6"/>
    </row>
    <row r="120" spans="1:53">
      <c r="A120" s="17" t="str">
        <f t="shared" si="31"/>
        <v>\cite{Zhang2017}</v>
      </c>
      <c r="B120" s="13" t="s">
        <v>154</v>
      </c>
      <c r="C120" s="13">
        <v>2017</v>
      </c>
      <c r="E120" s="13">
        <f t="shared" si="32"/>
        <v>2017</v>
      </c>
      <c r="F120" s="12">
        <f>LOOKUP(E120,Total_wind_installed_capacity!$A$3:$A$34,Total_wind_installed_capacity!$H$3:$H$34)</f>
        <v>530.78719999999998</v>
      </c>
      <c r="G120" s="18" t="s">
        <v>27</v>
      </c>
      <c r="H120" s="13" t="s">
        <v>33</v>
      </c>
      <c r="I120" s="18" t="s">
        <v>19</v>
      </c>
      <c r="L120" s="20">
        <v>400000</v>
      </c>
      <c r="N120" s="13" t="s">
        <v>31</v>
      </c>
      <c r="Q120" s="13" t="s">
        <v>35</v>
      </c>
      <c r="R120" s="26">
        <f t="shared" si="52"/>
        <v>17540000000</v>
      </c>
      <c r="S120" s="19">
        <f t="shared" si="53"/>
        <v>1869999999.9999988</v>
      </c>
      <c r="T120" s="23">
        <f t="shared" si="33"/>
        <v>4872222222.2222223</v>
      </c>
      <c r="U120" s="23">
        <f t="shared" si="33"/>
        <v>519444444.44444412</v>
      </c>
      <c r="V120" s="25">
        <f t="shared" si="62"/>
        <v>43.85</v>
      </c>
      <c r="W120" s="25">
        <f t="shared" si="63"/>
        <v>4.6749999999999972</v>
      </c>
      <c r="X120" s="6">
        <f t="shared" si="54"/>
        <v>12.180555555555555</v>
      </c>
      <c r="Y120" s="6"/>
      <c r="AA120" s="24">
        <f t="shared" si="55"/>
        <v>1461666666.6666667</v>
      </c>
      <c r="AB120" s="24">
        <f t="shared" si="56"/>
        <v>155833333.33333322</v>
      </c>
      <c r="AC120" s="25">
        <f t="shared" si="50"/>
        <v>5.2035125192832564E-2</v>
      </c>
      <c r="AE120" s="32"/>
      <c r="AG120" s="25">
        <v>0</v>
      </c>
      <c r="AI120" s="27">
        <f t="shared" si="47"/>
        <v>0.40082762557077628</v>
      </c>
      <c r="AJ120" s="20">
        <v>1404500000</v>
      </c>
      <c r="AL120" s="13">
        <v>20</v>
      </c>
      <c r="AM120" s="20">
        <f t="shared" si="51"/>
        <v>28090000000</v>
      </c>
      <c r="AN120" s="20">
        <f t="shared" si="45"/>
        <v>70225000</v>
      </c>
      <c r="AS120" s="25">
        <f t="shared" si="34"/>
        <v>0.62442150231399074</v>
      </c>
      <c r="AT120" s="25"/>
      <c r="AU120" s="25">
        <f t="shared" si="61"/>
        <v>0.17345041730944188</v>
      </c>
      <c r="AV120" s="50">
        <f t="shared" si="57"/>
        <v>5.5476444760887587E-3</v>
      </c>
      <c r="AW120" s="6"/>
      <c r="AX120" s="29"/>
      <c r="AY120" s="25"/>
      <c r="AZ120" s="6"/>
    </row>
    <row r="121" spans="1:53">
      <c r="A121" s="17" t="str">
        <f t="shared" si="31"/>
        <v>\cite{Zhang2017}</v>
      </c>
      <c r="B121" s="13" t="s">
        <v>154</v>
      </c>
      <c r="C121" s="13">
        <v>2017</v>
      </c>
      <c r="E121" s="13">
        <f t="shared" si="32"/>
        <v>2017</v>
      </c>
      <c r="F121" s="12">
        <f>LOOKUP(E121,Total_wind_installed_capacity!$A$3:$A$34,Total_wind_installed_capacity!$H$3:$H$34)</f>
        <v>530.78719999999998</v>
      </c>
      <c r="G121" s="18" t="s">
        <v>27</v>
      </c>
      <c r="H121" s="13" t="s">
        <v>33</v>
      </c>
      <c r="I121" s="18" t="s">
        <v>19</v>
      </c>
      <c r="L121" s="20">
        <v>50000</v>
      </c>
      <c r="N121" s="13" t="s">
        <v>31</v>
      </c>
      <c r="Q121" s="13" t="s">
        <v>20</v>
      </c>
      <c r="R121" s="26">
        <f t="shared" si="52"/>
        <v>2192500000</v>
      </c>
      <c r="S121" s="19">
        <f t="shared" si="53"/>
        <v>233749999.99999985</v>
      </c>
      <c r="T121" s="23">
        <f t="shared" si="33"/>
        <v>609027777.77777779</v>
      </c>
      <c r="U121" s="23">
        <f t="shared" si="33"/>
        <v>64930555.555555515</v>
      </c>
      <c r="V121" s="25">
        <f t="shared" si="62"/>
        <v>43.85</v>
      </c>
      <c r="W121" s="25">
        <f t="shared" si="63"/>
        <v>4.6749999999999972</v>
      </c>
      <c r="X121" s="6">
        <f t="shared" si="54"/>
        <v>12.180555555555555</v>
      </c>
      <c r="Y121" s="6"/>
      <c r="AA121" s="24">
        <f t="shared" si="55"/>
        <v>182708333.33333334</v>
      </c>
      <c r="AB121" s="24">
        <f t="shared" si="56"/>
        <v>19479166.666666653</v>
      </c>
      <c r="AC121" s="25">
        <f t="shared" si="50"/>
        <v>5.7455450733752626E-2</v>
      </c>
      <c r="AE121" s="32"/>
      <c r="AG121" s="25">
        <v>0</v>
      </c>
      <c r="AI121" s="27">
        <f t="shared" si="47"/>
        <v>0.36301369863013699</v>
      </c>
      <c r="AJ121" s="20">
        <v>159000000</v>
      </c>
      <c r="AL121" s="13">
        <v>20</v>
      </c>
      <c r="AM121" s="20">
        <f t="shared" si="51"/>
        <v>3180000000</v>
      </c>
      <c r="AN121" s="20">
        <f t="shared" si="45"/>
        <v>63600000</v>
      </c>
      <c r="AS121" s="25">
        <f t="shared" si="34"/>
        <v>0.68946540880503149</v>
      </c>
      <c r="AT121" s="25"/>
      <c r="AU121" s="25">
        <f t="shared" si="61"/>
        <v>0.19151816911250874</v>
      </c>
      <c r="AV121" s="50">
        <f t="shared" si="57"/>
        <v>6.1255241090146708E-3</v>
      </c>
      <c r="AW121" s="6"/>
      <c r="AX121" s="29"/>
      <c r="AY121" s="25"/>
      <c r="AZ121" s="6"/>
    </row>
    <row r="122" spans="1:53">
      <c r="A122" s="17" t="str">
        <f t="shared" si="31"/>
        <v>\cite{Zhang2017}</v>
      </c>
      <c r="B122" s="13" t="s">
        <v>154</v>
      </c>
      <c r="C122" s="13">
        <v>2017</v>
      </c>
      <c r="E122" s="13">
        <f t="shared" si="32"/>
        <v>2017</v>
      </c>
      <c r="F122" s="12">
        <f>LOOKUP(E122,Total_wind_installed_capacity!$A$3:$A$34,Total_wind_installed_capacity!$H$3:$H$34)</f>
        <v>530.78719999999998</v>
      </c>
      <c r="G122" s="18" t="s">
        <v>27</v>
      </c>
      <c r="H122" s="13" t="s">
        <v>33</v>
      </c>
      <c r="I122" s="18" t="s">
        <v>19</v>
      </c>
      <c r="L122" s="20">
        <v>250000</v>
      </c>
      <c r="N122" s="13" t="s">
        <v>31</v>
      </c>
      <c r="Q122" s="13" t="s">
        <v>35</v>
      </c>
      <c r="R122" s="26">
        <f t="shared" si="52"/>
        <v>10962500000</v>
      </c>
      <c r="S122" s="19">
        <f t="shared" si="53"/>
        <v>1168749999.9999993</v>
      </c>
      <c r="T122" s="23">
        <f t="shared" si="33"/>
        <v>3045138888.8888888</v>
      </c>
      <c r="U122" s="23">
        <f t="shared" si="33"/>
        <v>324652777.77777755</v>
      </c>
      <c r="V122" s="25">
        <f t="shared" si="62"/>
        <v>43.85</v>
      </c>
      <c r="W122" s="25">
        <f t="shared" si="63"/>
        <v>4.6749999999999972</v>
      </c>
      <c r="X122" s="6">
        <f t="shared" si="54"/>
        <v>12.180555555555555</v>
      </c>
      <c r="Y122" s="6"/>
      <c r="AA122" s="24">
        <f t="shared" si="55"/>
        <v>913541666.66666663</v>
      </c>
      <c r="AB122" s="24">
        <f t="shared" si="56"/>
        <v>97395833.333333269</v>
      </c>
      <c r="AC122" s="25">
        <f t="shared" si="50"/>
        <v>5.2415036242278196E-2</v>
      </c>
      <c r="AE122" s="32"/>
      <c r="AG122" s="25">
        <v>0</v>
      </c>
      <c r="AI122" s="27">
        <f t="shared" si="47"/>
        <v>0.39792237442922379</v>
      </c>
      <c r="AJ122" s="20">
        <v>871450000</v>
      </c>
      <c r="AL122" s="13">
        <v>20</v>
      </c>
      <c r="AM122" s="20">
        <f t="shared" si="51"/>
        <v>17429000000</v>
      </c>
      <c r="AN122" s="20">
        <f t="shared" si="45"/>
        <v>69716000</v>
      </c>
      <c r="AS122" s="25">
        <f t="shared" si="34"/>
        <v>0.62898043490733835</v>
      </c>
      <c r="AT122" s="25"/>
      <c r="AU122" s="25">
        <f t="shared" si="61"/>
        <v>0.17471678747426064</v>
      </c>
      <c r="AV122" s="50">
        <f t="shared" si="57"/>
        <v>5.5881481056476714E-3</v>
      </c>
      <c r="AW122" s="6"/>
      <c r="AX122" s="29"/>
      <c r="AY122" s="25"/>
      <c r="AZ122" s="6"/>
    </row>
    <row r="123" spans="1:53">
      <c r="A123" s="17" t="str">
        <f t="shared" si="31"/>
        <v>\cite{Walmsley2017}</v>
      </c>
      <c r="B123" s="13" t="s">
        <v>157</v>
      </c>
      <c r="C123" s="13">
        <v>2017</v>
      </c>
      <c r="E123" s="13">
        <f t="shared" si="32"/>
        <v>2017</v>
      </c>
      <c r="F123" s="12">
        <f>LOOKUP(E123,Total_wind_installed_capacity!$A$3:$A$34,Total_wind_installed_capacity!$H$3:$H$34)</f>
        <v>530.78719999999998</v>
      </c>
      <c r="G123" s="18" t="s">
        <v>27</v>
      </c>
      <c r="H123" s="13" t="s">
        <v>33</v>
      </c>
      <c r="I123" s="18" t="s">
        <v>158</v>
      </c>
      <c r="J123" s="19">
        <f>L123/K123</f>
        <v>3000</v>
      </c>
      <c r="K123" s="13">
        <v>31</v>
      </c>
      <c r="L123" s="20">
        <v>93000</v>
      </c>
      <c r="N123" s="13" t="s">
        <v>24</v>
      </c>
      <c r="O123" s="13">
        <v>90</v>
      </c>
      <c r="P123" s="13">
        <v>65</v>
      </c>
      <c r="Q123" s="13" t="s">
        <v>20</v>
      </c>
      <c r="R123" s="22" t="e">
        <f>AA123*3.6*100/Z123</f>
        <v>#REF!</v>
      </c>
      <c r="S123" s="25"/>
      <c r="T123" s="23" t="e">
        <f t="shared" si="33"/>
        <v>#REF!</v>
      </c>
      <c r="U123" s="23">
        <f t="shared" si="33"/>
        <v>0</v>
      </c>
      <c r="V123" s="6" t="e">
        <f>R123/$L123/1000</f>
        <v>#REF!</v>
      </c>
      <c r="W123" s="25"/>
      <c r="X123" s="6" t="e">
        <f t="shared" si="54"/>
        <v>#REF!</v>
      </c>
      <c r="Y123" s="6"/>
      <c r="Z123" s="13">
        <v>30</v>
      </c>
      <c r="AA123" s="24" t="e">
        <f>AU123*AM123</f>
        <v>#REF!</v>
      </c>
      <c r="AB123" s="24"/>
      <c r="AC123" s="25" t="e">
        <f t="shared" si="50"/>
        <v>#REF!</v>
      </c>
      <c r="AE123" s="32">
        <f t="shared" ref="AE123:AE133" si="64">AX123*AM123/1000</f>
        <v>37674418.604651168</v>
      </c>
      <c r="AG123" s="25">
        <f>AE123/$L123/1000</f>
        <v>0.40510127531882978</v>
      </c>
      <c r="AI123" s="27">
        <f t="shared" si="47"/>
        <v>0.44189129474149358</v>
      </c>
      <c r="AJ123" s="20">
        <f>360000000</f>
        <v>360000000</v>
      </c>
      <c r="AL123" s="13">
        <v>20</v>
      </c>
      <c r="AM123" s="20">
        <f t="shared" si="51"/>
        <v>7200000000</v>
      </c>
      <c r="AN123" s="20">
        <f t="shared" si="45"/>
        <v>77419354.838709682</v>
      </c>
      <c r="AS123" s="25" t="e">
        <f t="shared" si="34"/>
        <v>#REF!</v>
      </c>
      <c r="AT123" s="25"/>
      <c r="AU123" s="25" t="e">
        <f>1/#REF!*100/Z123</f>
        <v>#REF!</v>
      </c>
      <c r="AV123" s="50">
        <f t="shared" si="57"/>
        <v>0</v>
      </c>
      <c r="AW123" s="6"/>
      <c r="AX123" s="29">
        <f>3600/688</f>
        <v>5.2325581395348841</v>
      </c>
      <c r="AY123" s="25"/>
      <c r="AZ123" s="6"/>
    </row>
    <row r="124" spans="1:53">
      <c r="A124" s="17" t="str">
        <f t="shared" si="31"/>
        <v>\cite{Walmsley2017}</v>
      </c>
      <c r="B124" s="13" t="s">
        <v>157</v>
      </c>
      <c r="C124" s="13">
        <v>2017</v>
      </c>
      <c r="E124" s="13">
        <f t="shared" si="32"/>
        <v>2017</v>
      </c>
      <c r="F124" s="12">
        <f>LOOKUP(E124,Total_wind_installed_capacity!$A$3:$A$34,Total_wind_installed_capacity!$H$3:$H$34)</f>
        <v>530.78719999999998</v>
      </c>
      <c r="G124" s="18" t="s">
        <v>27</v>
      </c>
      <c r="H124" s="13" t="s">
        <v>33</v>
      </c>
      <c r="I124" s="18" t="s">
        <v>158</v>
      </c>
      <c r="J124" s="19">
        <f t="shared" ref="J124:J133" si="65">L124/K124</f>
        <v>2306.4516129032259</v>
      </c>
      <c r="K124" s="13">
        <v>62</v>
      </c>
      <c r="L124" s="20">
        <v>143000</v>
      </c>
      <c r="N124" s="13" t="s">
        <v>24</v>
      </c>
      <c r="O124" s="13">
        <v>82</v>
      </c>
      <c r="P124" s="13">
        <v>68</v>
      </c>
      <c r="Q124" s="13" t="s">
        <v>20</v>
      </c>
      <c r="R124" s="22" t="e">
        <f t="shared" ref="R124:R133" si="66">AA124*3.6*100/Z124</f>
        <v>#REF!</v>
      </c>
      <c r="S124" s="25"/>
      <c r="T124" s="23" t="e">
        <f t="shared" si="33"/>
        <v>#REF!</v>
      </c>
      <c r="U124" s="23">
        <f t="shared" si="33"/>
        <v>0</v>
      </c>
      <c r="V124" s="6" t="e">
        <f t="shared" ref="V124:V132" si="67">R124/$L124/1000</f>
        <v>#REF!</v>
      </c>
      <c r="W124" s="25"/>
      <c r="X124" s="6" t="e">
        <f t="shared" si="54"/>
        <v>#REF!</v>
      </c>
      <c r="Y124" s="6"/>
      <c r="Z124" s="13">
        <v>30</v>
      </c>
      <c r="AA124" s="24" t="e">
        <f t="shared" ref="AA124:AA133" si="68">AU124*AM124</f>
        <v>#REF!</v>
      </c>
      <c r="AB124" s="24"/>
      <c r="AC124" s="25" t="e">
        <f t="shared" si="50"/>
        <v>#REF!</v>
      </c>
      <c r="AE124" s="32">
        <f t="shared" si="64"/>
        <v>67011235.955056176</v>
      </c>
      <c r="AG124" s="25">
        <f t="shared" ref="AG124:AG134" si="69">AE124/$L124/1000</f>
        <v>0.46861004164374948</v>
      </c>
      <c r="AI124" s="27">
        <f t="shared" si="47"/>
        <v>0.39674936935210908</v>
      </c>
      <c r="AJ124" s="20">
        <v>497000000</v>
      </c>
      <c r="AL124" s="13">
        <v>20</v>
      </c>
      <c r="AM124" s="20">
        <f t="shared" si="51"/>
        <v>9940000000</v>
      </c>
      <c r="AN124" s="20">
        <f t="shared" si="45"/>
        <v>69510489.510489509</v>
      </c>
      <c r="AS124" s="25" t="e">
        <f t="shared" si="34"/>
        <v>#REF!</v>
      </c>
      <c r="AT124" s="25"/>
      <c r="AU124" s="25" t="e">
        <f>1/#REF!*100/Z124</f>
        <v>#REF!</v>
      </c>
      <c r="AW124" s="6"/>
      <c r="AX124" s="29">
        <f>3600/534</f>
        <v>6.7415730337078648</v>
      </c>
      <c r="AY124" s="25"/>
      <c r="AZ124" s="6"/>
    </row>
    <row r="125" spans="1:53">
      <c r="A125" s="17" t="str">
        <f t="shared" si="31"/>
        <v>\cite{Walmsley2017}</v>
      </c>
      <c r="B125" s="13" t="s">
        <v>157</v>
      </c>
      <c r="C125" s="13">
        <v>2017</v>
      </c>
      <c r="E125" s="13">
        <f t="shared" si="32"/>
        <v>2017</v>
      </c>
      <c r="F125" s="12">
        <f>LOOKUP(E125,Total_wind_installed_capacity!$A$3:$A$34,Total_wind_installed_capacity!$H$3:$H$34)</f>
        <v>530.78719999999998</v>
      </c>
      <c r="G125" s="18" t="s">
        <v>27</v>
      </c>
      <c r="H125" s="13" t="s">
        <v>33</v>
      </c>
      <c r="I125" s="18" t="s">
        <v>158</v>
      </c>
      <c r="J125" s="19">
        <f t="shared" si="65"/>
        <v>3000</v>
      </c>
      <c r="K125" s="13">
        <v>12</v>
      </c>
      <c r="L125" s="20">
        <v>36000</v>
      </c>
      <c r="N125" s="13" t="s">
        <v>24</v>
      </c>
      <c r="O125" s="13">
        <v>90</v>
      </c>
      <c r="P125" s="13">
        <v>80</v>
      </c>
      <c r="Q125" s="13" t="s">
        <v>20</v>
      </c>
      <c r="R125" s="22" t="e">
        <f t="shared" si="66"/>
        <v>#REF!</v>
      </c>
      <c r="S125" s="25"/>
      <c r="T125" s="23" t="e">
        <f t="shared" si="33"/>
        <v>#REF!</v>
      </c>
      <c r="U125" s="23">
        <f t="shared" si="33"/>
        <v>0</v>
      </c>
      <c r="V125" s="6" t="e">
        <f t="shared" si="67"/>
        <v>#REF!</v>
      </c>
      <c r="W125" s="25"/>
      <c r="X125" s="6" t="e">
        <f t="shared" si="54"/>
        <v>#REF!</v>
      </c>
      <c r="Y125" s="6"/>
      <c r="Z125" s="13">
        <v>30</v>
      </c>
      <c r="AA125" s="24" t="e">
        <f t="shared" si="68"/>
        <v>#REF!</v>
      </c>
      <c r="AB125" s="24"/>
      <c r="AC125" s="25" t="e">
        <f t="shared" si="50"/>
        <v>#REF!</v>
      </c>
      <c r="AE125" s="32">
        <f t="shared" si="64"/>
        <v>14736842.105263157</v>
      </c>
      <c r="AG125" s="25">
        <f t="shared" si="69"/>
        <v>0.40935672514619881</v>
      </c>
      <c r="AI125" s="27">
        <f t="shared" si="47"/>
        <v>0.33295281582952813</v>
      </c>
      <c r="AJ125" s="20">
        <v>105000000</v>
      </c>
      <c r="AL125" s="13">
        <v>20</v>
      </c>
      <c r="AM125" s="20">
        <f t="shared" si="51"/>
        <v>2100000000</v>
      </c>
      <c r="AN125" s="20">
        <f t="shared" si="45"/>
        <v>58333333.333333336</v>
      </c>
      <c r="AS125" s="25" t="e">
        <f t="shared" si="34"/>
        <v>#REF!</v>
      </c>
      <c r="AT125" s="25"/>
      <c r="AU125" s="25" t="e">
        <f>1/#REF!*100/Z125</f>
        <v>#REF!</v>
      </c>
      <c r="AW125" s="6"/>
      <c r="AX125" s="29">
        <f>3600/513</f>
        <v>7.0175438596491224</v>
      </c>
      <c r="AY125" s="25"/>
      <c r="AZ125" s="6"/>
    </row>
    <row r="126" spans="1:53">
      <c r="A126" s="17" t="str">
        <f t="shared" si="31"/>
        <v>\cite{Walmsley2017}</v>
      </c>
      <c r="B126" s="13" t="s">
        <v>157</v>
      </c>
      <c r="C126" s="13">
        <v>2017</v>
      </c>
      <c r="E126" s="13">
        <f t="shared" si="32"/>
        <v>2017</v>
      </c>
      <c r="F126" s="12">
        <f>LOOKUP(E126,Total_wind_installed_capacity!$A$3:$A$34,Total_wind_installed_capacity!$H$3:$H$34)</f>
        <v>530.78719999999998</v>
      </c>
      <c r="G126" s="18" t="s">
        <v>27</v>
      </c>
      <c r="H126" s="13" t="s">
        <v>33</v>
      </c>
      <c r="I126" s="18" t="s">
        <v>158</v>
      </c>
      <c r="J126" s="19">
        <f t="shared" si="65"/>
        <v>2300</v>
      </c>
      <c r="K126" s="13">
        <v>28</v>
      </c>
      <c r="L126" s="20">
        <v>64400</v>
      </c>
      <c r="N126" s="13" t="s">
        <v>24</v>
      </c>
      <c r="O126" s="13">
        <v>101</v>
      </c>
      <c r="P126" s="13">
        <v>80</v>
      </c>
      <c r="Q126" s="13" t="s">
        <v>20</v>
      </c>
      <c r="R126" s="22" t="e">
        <f t="shared" si="66"/>
        <v>#REF!</v>
      </c>
      <c r="S126" s="25"/>
      <c r="T126" s="23" t="e">
        <f t="shared" si="33"/>
        <v>#REF!</v>
      </c>
      <c r="U126" s="23">
        <f t="shared" si="33"/>
        <v>0</v>
      </c>
      <c r="V126" s="6" t="e">
        <f t="shared" si="67"/>
        <v>#REF!</v>
      </c>
      <c r="W126" s="25"/>
      <c r="X126" s="6" t="e">
        <f t="shared" si="54"/>
        <v>#REF!</v>
      </c>
      <c r="Y126" s="6"/>
      <c r="Z126" s="13">
        <v>30</v>
      </c>
      <c r="AA126" s="24" t="e">
        <f t="shared" si="68"/>
        <v>#REF!</v>
      </c>
      <c r="AB126" s="24"/>
      <c r="AC126" s="25" t="e">
        <f t="shared" si="50"/>
        <v>#REF!</v>
      </c>
      <c r="AE126" s="32">
        <f t="shared" si="64"/>
        <v>34979757.085020252</v>
      </c>
      <c r="AG126" s="25">
        <f t="shared" si="69"/>
        <v>0.54316392989161888</v>
      </c>
      <c r="AI126" s="27">
        <f t="shared" si="47"/>
        <v>0.42542329617969876</v>
      </c>
      <c r="AJ126" s="20">
        <v>240000000</v>
      </c>
      <c r="AL126" s="13">
        <v>20</v>
      </c>
      <c r="AM126" s="20">
        <f t="shared" si="51"/>
        <v>4800000000</v>
      </c>
      <c r="AN126" s="20">
        <f t="shared" si="45"/>
        <v>74534161.490683228</v>
      </c>
      <c r="AS126" s="25" t="e">
        <f t="shared" si="34"/>
        <v>#REF!</v>
      </c>
      <c r="AT126" s="25"/>
      <c r="AU126" s="25" t="e">
        <f>1/#REF!*100/Z126</f>
        <v>#REF!</v>
      </c>
      <c r="AW126" s="6"/>
      <c r="AX126" s="29">
        <f>3600/494</f>
        <v>7.287449392712551</v>
      </c>
      <c r="AY126" s="25"/>
      <c r="AZ126" s="6"/>
    </row>
    <row r="127" spans="1:53">
      <c r="A127" s="17" t="str">
        <f t="shared" si="31"/>
        <v>\cite{Walmsley2017}</v>
      </c>
      <c r="B127" s="13" t="s">
        <v>157</v>
      </c>
      <c r="C127" s="13">
        <v>2017</v>
      </c>
      <c r="E127" s="13">
        <f t="shared" si="32"/>
        <v>2017</v>
      </c>
      <c r="F127" s="12">
        <f>LOOKUP(E127,Total_wind_installed_capacity!$A$3:$A$34,Total_wind_installed_capacity!$H$3:$H$34)</f>
        <v>530.78719999999998</v>
      </c>
      <c r="G127" s="18" t="s">
        <v>27</v>
      </c>
      <c r="H127" s="13" t="s">
        <v>33</v>
      </c>
      <c r="I127" s="18" t="s">
        <v>158</v>
      </c>
      <c r="J127" s="19">
        <f t="shared" si="65"/>
        <v>2000</v>
      </c>
      <c r="K127" s="13">
        <v>29</v>
      </c>
      <c r="L127" s="20">
        <v>58000</v>
      </c>
      <c r="N127" s="13" t="s">
        <v>24</v>
      </c>
      <c r="O127" s="13">
        <v>80</v>
      </c>
      <c r="P127" s="13">
        <v>70</v>
      </c>
      <c r="Q127" s="13" t="s">
        <v>20</v>
      </c>
      <c r="R127" s="22" t="e">
        <f t="shared" si="66"/>
        <v>#REF!</v>
      </c>
      <c r="S127" s="25"/>
      <c r="T127" s="23" t="e">
        <f t="shared" si="33"/>
        <v>#REF!</v>
      </c>
      <c r="U127" s="23">
        <f t="shared" si="33"/>
        <v>0</v>
      </c>
      <c r="V127" s="6" t="e">
        <f t="shared" si="67"/>
        <v>#REF!</v>
      </c>
      <c r="W127" s="25"/>
      <c r="X127" s="6" t="e">
        <f t="shared" si="54"/>
        <v>#REF!</v>
      </c>
      <c r="Y127" s="6"/>
      <c r="Z127" s="13">
        <v>30</v>
      </c>
      <c r="AA127" s="24" t="e">
        <f t="shared" si="68"/>
        <v>#REF!</v>
      </c>
      <c r="AB127" s="24"/>
      <c r="AC127" s="25" t="e">
        <f t="shared" si="50"/>
        <v>#REF!</v>
      </c>
      <c r="AE127" s="32">
        <f t="shared" si="64"/>
        <v>29608988.764044944</v>
      </c>
      <c r="AG127" s="25">
        <f t="shared" si="69"/>
        <v>0.51049980627663694</v>
      </c>
      <c r="AI127" s="27">
        <f t="shared" si="47"/>
        <v>0.36017949929145016</v>
      </c>
      <c r="AJ127" s="20">
        <v>183000000</v>
      </c>
      <c r="AL127" s="13">
        <v>20</v>
      </c>
      <c r="AM127" s="20">
        <f t="shared" si="51"/>
        <v>3660000000</v>
      </c>
      <c r="AN127" s="20">
        <f t="shared" si="45"/>
        <v>63103448.275862075</v>
      </c>
      <c r="AS127" s="25" t="e">
        <f t="shared" si="34"/>
        <v>#REF!</v>
      </c>
      <c r="AT127" s="25"/>
      <c r="AU127" s="25" t="e">
        <f>1/#REF!*100/Z127</f>
        <v>#REF!</v>
      </c>
      <c r="AW127" s="6"/>
      <c r="AX127" s="29">
        <f>3600/445</f>
        <v>8.0898876404494384</v>
      </c>
      <c r="AY127" s="25"/>
      <c r="AZ127" s="6"/>
    </row>
    <row r="128" spans="1:53">
      <c r="A128" s="17" t="str">
        <f t="shared" si="31"/>
        <v>\cite{Walmsley2017}</v>
      </c>
      <c r="B128" s="13" t="s">
        <v>157</v>
      </c>
      <c r="C128" s="13">
        <v>2017</v>
      </c>
      <c r="E128" s="13">
        <f t="shared" si="32"/>
        <v>2017</v>
      </c>
      <c r="F128" s="12">
        <f>LOOKUP(E128,Total_wind_installed_capacity!$A$3:$A$34,Total_wind_installed_capacity!$H$3:$H$34)</f>
        <v>530.78719999999998</v>
      </c>
      <c r="G128" s="18" t="s">
        <v>27</v>
      </c>
      <c r="H128" s="13" t="s">
        <v>33</v>
      </c>
      <c r="I128" s="18" t="s">
        <v>158</v>
      </c>
      <c r="J128" s="19">
        <f t="shared" si="65"/>
        <v>1654.5454545454545</v>
      </c>
      <c r="K128" s="13">
        <v>55</v>
      </c>
      <c r="L128" s="20">
        <v>91000</v>
      </c>
      <c r="N128" s="13" t="s">
        <v>24</v>
      </c>
      <c r="O128" s="13">
        <v>80</v>
      </c>
      <c r="P128" s="13">
        <v>70</v>
      </c>
      <c r="Q128" s="13" t="s">
        <v>20</v>
      </c>
      <c r="R128" s="22" t="e">
        <f t="shared" si="66"/>
        <v>#REF!</v>
      </c>
      <c r="S128" s="25"/>
      <c r="T128" s="23" t="e">
        <f t="shared" si="33"/>
        <v>#REF!</v>
      </c>
      <c r="U128" s="23">
        <f t="shared" si="33"/>
        <v>0</v>
      </c>
      <c r="V128" s="6" t="e">
        <f t="shared" si="67"/>
        <v>#REF!</v>
      </c>
      <c r="W128" s="25"/>
      <c r="X128" s="6" t="e">
        <f t="shared" si="54"/>
        <v>#REF!</v>
      </c>
      <c r="Y128" s="6"/>
      <c r="Z128" s="13">
        <v>30</v>
      </c>
      <c r="AA128" s="24" t="e">
        <f t="shared" si="68"/>
        <v>#REF!</v>
      </c>
      <c r="AB128" s="24"/>
      <c r="AC128" s="25" t="e">
        <f t="shared" si="50"/>
        <v>#REF!</v>
      </c>
      <c r="AE128" s="32">
        <f t="shared" si="64"/>
        <v>55450236.966824643</v>
      </c>
      <c r="AG128" s="25">
        <f t="shared" si="69"/>
        <v>0.60934326337169931</v>
      </c>
      <c r="AI128" s="27">
        <f t="shared" si="47"/>
        <v>0.40769732550554472</v>
      </c>
      <c r="AJ128" s="20">
        <v>325000000</v>
      </c>
      <c r="AL128" s="13">
        <v>20</v>
      </c>
      <c r="AM128" s="20">
        <f t="shared" si="51"/>
        <v>6500000000</v>
      </c>
      <c r="AN128" s="20">
        <f t="shared" si="45"/>
        <v>71428571.428571433</v>
      </c>
      <c r="AS128" s="25" t="e">
        <f t="shared" si="34"/>
        <v>#REF!</v>
      </c>
      <c r="AT128" s="25"/>
      <c r="AU128" s="25" t="e">
        <f>1/#REF!*100/Z128</f>
        <v>#REF!</v>
      </c>
      <c r="AW128" s="6"/>
      <c r="AX128" s="29">
        <f>3600/422</f>
        <v>8.5308056872037916</v>
      </c>
      <c r="AY128" s="25"/>
      <c r="AZ128" s="6"/>
    </row>
    <row r="129" spans="1:53">
      <c r="A129" s="17" t="str">
        <f t="shared" si="31"/>
        <v>\cite{Walmsley2017}</v>
      </c>
      <c r="B129" s="13" t="s">
        <v>157</v>
      </c>
      <c r="C129" s="13">
        <v>2017</v>
      </c>
      <c r="E129" s="13">
        <f t="shared" si="32"/>
        <v>2017</v>
      </c>
      <c r="F129" s="12">
        <f>LOOKUP(E129,Total_wind_installed_capacity!$A$3:$A$34,Total_wind_installed_capacity!$H$3:$H$34)</f>
        <v>530.78719999999998</v>
      </c>
      <c r="G129" s="18" t="s">
        <v>27</v>
      </c>
      <c r="H129" s="13" t="s">
        <v>33</v>
      </c>
      <c r="I129" s="18" t="s">
        <v>158</v>
      </c>
      <c r="J129" s="19">
        <f t="shared" si="65"/>
        <v>650.48543689320388</v>
      </c>
      <c r="K129" s="13">
        <v>103</v>
      </c>
      <c r="L129" s="20">
        <v>67000</v>
      </c>
      <c r="N129" s="13" t="s">
        <v>24</v>
      </c>
      <c r="O129" s="13">
        <v>47</v>
      </c>
      <c r="P129" s="13">
        <v>50</v>
      </c>
      <c r="Q129" s="13" t="s">
        <v>20</v>
      </c>
      <c r="R129" s="22" t="e">
        <f t="shared" si="66"/>
        <v>#REF!</v>
      </c>
      <c r="S129" s="25"/>
      <c r="T129" s="23" t="e">
        <f t="shared" si="33"/>
        <v>#REF!</v>
      </c>
      <c r="U129" s="23">
        <f t="shared" si="33"/>
        <v>0</v>
      </c>
      <c r="V129" s="6" t="e">
        <f t="shared" si="67"/>
        <v>#REF!</v>
      </c>
      <c r="W129" s="25"/>
      <c r="X129" s="6" t="e">
        <f t="shared" si="54"/>
        <v>#REF!</v>
      </c>
      <c r="Y129" s="6"/>
      <c r="Z129" s="13">
        <v>30</v>
      </c>
      <c r="AA129" s="24" t="e">
        <f t="shared" si="68"/>
        <v>#REF!</v>
      </c>
      <c r="AB129" s="24"/>
      <c r="AC129" s="25" t="e">
        <f t="shared" si="50"/>
        <v>#REF!</v>
      </c>
      <c r="AE129" s="32">
        <f t="shared" si="64"/>
        <v>70909090.909090906</v>
      </c>
      <c r="AG129" s="25">
        <f t="shared" si="69"/>
        <v>1.0583446404341925</v>
      </c>
      <c r="AI129" s="27">
        <f t="shared" si="47"/>
        <v>0.44299052681796497</v>
      </c>
      <c r="AJ129" s="20">
        <v>260000000</v>
      </c>
      <c r="AL129" s="13">
        <v>20</v>
      </c>
      <c r="AM129" s="20">
        <f t="shared" si="51"/>
        <v>5200000000</v>
      </c>
      <c r="AN129" s="20">
        <f t="shared" si="45"/>
        <v>77611940.298507452</v>
      </c>
      <c r="AS129" s="25" t="e">
        <f t="shared" si="34"/>
        <v>#REF!</v>
      </c>
      <c r="AT129" s="25"/>
      <c r="AU129" s="25" t="e">
        <f>1/#REF!*100/Z129</f>
        <v>#REF!</v>
      </c>
      <c r="AW129" s="6"/>
      <c r="AX129" s="29">
        <f>3600/264</f>
        <v>13.636363636363637</v>
      </c>
      <c r="AY129" s="25"/>
      <c r="AZ129" s="6"/>
    </row>
    <row r="130" spans="1:53">
      <c r="A130" s="17" t="str">
        <f t="shared" si="31"/>
        <v>\cite{Walmsley2017}</v>
      </c>
      <c r="B130" s="13" t="s">
        <v>157</v>
      </c>
      <c r="C130" s="13">
        <v>2017</v>
      </c>
      <c r="E130" s="13">
        <f t="shared" si="32"/>
        <v>2017</v>
      </c>
      <c r="F130" s="12">
        <f>LOOKUP(E130,Total_wind_installed_capacity!$A$3:$A$34,Total_wind_installed_capacity!$H$3:$H$34)</f>
        <v>530.78719999999998</v>
      </c>
      <c r="G130" s="18" t="s">
        <v>27</v>
      </c>
      <c r="H130" s="13" t="s">
        <v>33</v>
      </c>
      <c r="I130" s="18" t="s">
        <v>158</v>
      </c>
      <c r="J130" s="19">
        <f t="shared" si="65"/>
        <v>855.55555555555554</v>
      </c>
      <c r="K130" s="13">
        <v>9</v>
      </c>
      <c r="L130" s="20">
        <v>7700</v>
      </c>
      <c r="N130" s="13" t="s">
        <v>24</v>
      </c>
      <c r="O130" s="13">
        <v>52</v>
      </c>
      <c r="P130" s="13">
        <v>45</v>
      </c>
      <c r="Q130" s="13" t="s">
        <v>20</v>
      </c>
      <c r="R130" s="22" t="e">
        <f t="shared" si="66"/>
        <v>#REF!</v>
      </c>
      <c r="S130" s="25"/>
      <c r="T130" s="23" t="e">
        <f t="shared" si="33"/>
        <v>#REF!</v>
      </c>
      <c r="U130" s="23">
        <f t="shared" si="33"/>
        <v>0</v>
      </c>
      <c r="V130" s="6" t="e">
        <f t="shared" si="67"/>
        <v>#REF!</v>
      </c>
      <c r="W130" s="25"/>
      <c r="X130" s="6" t="e">
        <f t="shared" si="54"/>
        <v>#REF!</v>
      </c>
      <c r="Y130" s="6"/>
      <c r="Z130" s="13">
        <v>30</v>
      </c>
      <c r="AA130" s="24" t="e">
        <f t="shared" si="68"/>
        <v>#REF!</v>
      </c>
      <c r="AB130" s="24"/>
      <c r="AC130" s="25" t="e">
        <f t="shared" ref="AC130:AC145" si="70">IF(AND(AA130&gt;0,AM130&gt;0),AA130/AM130, IF(AU130&gt;0, IF(Z130&gt;0, AU130*Z130/100,AU130*30/100),0))</f>
        <v>#REF!</v>
      </c>
      <c r="AE130" s="32">
        <f t="shared" si="64"/>
        <v>6023529.4117647065</v>
      </c>
      <c r="AG130" s="25">
        <f t="shared" si="69"/>
        <v>0.78227654698242943</v>
      </c>
      <c r="AI130" s="27">
        <f t="shared" si="47"/>
        <v>0.37952914665243431</v>
      </c>
      <c r="AJ130" s="20">
        <v>25600000</v>
      </c>
      <c r="AL130" s="13">
        <v>20</v>
      </c>
      <c r="AM130" s="20">
        <f t="shared" si="51"/>
        <v>512000000</v>
      </c>
      <c r="AN130" s="20">
        <f t="shared" si="45"/>
        <v>66493506.493506491</v>
      </c>
      <c r="AS130" s="25" t="e">
        <f t="shared" si="34"/>
        <v>#REF!</v>
      </c>
      <c r="AT130" s="25"/>
      <c r="AU130" s="25" t="e">
        <f>1/#REF!*100/Z130</f>
        <v>#REF!</v>
      </c>
      <c r="AW130" s="6"/>
      <c r="AX130" s="29">
        <f>3600/306</f>
        <v>11.764705882352942</v>
      </c>
      <c r="AY130" s="25"/>
      <c r="AZ130" s="6"/>
    </row>
    <row r="131" spans="1:53">
      <c r="A131" s="17" t="str">
        <f t="shared" ref="A131:A194" si="71">CONCATENATE("\cite{",B131,C131,"}")</f>
        <v>\cite{Walmsley2017}</v>
      </c>
      <c r="B131" s="13" t="s">
        <v>157</v>
      </c>
      <c r="C131" s="13">
        <v>2017</v>
      </c>
      <c r="E131" s="13">
        <f t="shared" ref="E131:E194" si="72">IF(D131&gt;0,D131,C131)</f>
        <v>2017</v>
      </c>
      <c r="F131" s="12">
        <f>LOOKUP(E131,Total_wind_installed_capacity!$A$3:$A$34,Total_wind_installed_capacity!$H$3:$H$34)</f>
        <v>530.78719999999998</v>
      </c>
      <c r="G131" s="18" t="s">
        <v>27</v>
      </c>
      <c r="H131" s="13" t="s">
        <v>33</v>
      </c>
      <c r="I131" s="18" t="s">
        <v>158</v>
      </c>
      <c r="J131" s="19">
        <f t="shared" si="65"/>
        <v>500</v>
      </c>
      <c r="K131" s="13">
        <v>97</v>
      </c>
      <c r="L131" s="20">
        <v>48500</v>
      </c>
      <c r="N131" s="13" t="s">
        <v>24</v>
      </c>
      <c r="O131" s="13">
        <v>33</v>
      </c>
      <c r="P131" s="13">
        <v>30</v>
      </c>
      <c r="Q131" s="13" t="s">
        <v>20</v>
      </c>
      <c r="R131" s="22" t="e">
        <f t="shared" si="66"/>
        <v>#REF!</v>
      </c>
      <c r="S131" s="25"/>
      <c r="T131" s="23" t="e">
        <f t="shared" ref="T131:U142" si="73">R131/3.6</f>
        <v>#REF!</v>
      </c>
      <c r="U131" s="23">
        <f t="shared" si="73"/>
        <v>0</v>
      </c>
      <c r="V131" s="6" t="e">
        <f t="shared" si="67"/>
        <v>#REF!</v>
      </c>
      <c r="W131" s="25"/>
      <c r="X131" s="6" t="e">
        <f t="shared" si="54"/>
        <v>#REF!</v>
      </c>
      <c r="Y131" s="6"/>
      <c r="Z131" s="13">
        <v>30</v>
      </c>
      <c r="AA131" s="24" t="e">
        <f t="shared" si="68"/>
        <v>#REF!</v>
      </c>
      <c r="AB131" s="24"/>
      <c r="AC131" s="25" t="e">
        <f t="shared" si="70"/>
        <v>#REF!</v>
      </c>
      <c r="AE131" s="32">
        <f t="shared" si="64"/>
        <v>48000000</v>
      </c>
      <c r="AG131" s="25">
        <f t="shared" si="69"/>
        <v>0.98969072164948457</v>
      </c>
      <c r="AI131" s="27">
        <f t="shared" si="47"/>
        <v>0.28715341524266813</v>
      </c>
      <c r="AJ131" s="20">
        <v>122000000</v>
      </c>
      <c r="AL131" s="13">
        <v>20</v>
      </c>
      <c r="AM131" s="20">
        <f t="shared" si="51"/>
        <v>2440000000</v>
      </c>
      <c r="AN131" s="20">
        <f t="shared" si="45"/>
        <v>50309278.350515462</v>
      </c>
      <c r="AS131" s="25" t="e">
        <f t="shared" ref="AS131:AS194" si="74">R131/AM131</f>
        <v>#REF!</v>
      </c>
      <c r="AT131" s="25"/>
      <c r="AU131" s="25" t="e">
        <f>1/#REF!*100/Z131</f>
        <v>#REF!</v>
      </c>
      <c r="AW131" s="6"/>
      <c r="AX131" s="29">
        <f>3600/183</f>
        <v>19.672131147540984</v>
      </c>
      <c r="AY131" s="25"/>
      <c r="AZ131" s="6"/>
    </row>
    <row r="132" spans="1:53">
      <c r="A132" s="17" t="str">
        <f t="shared" si="71"/>
        <v>\cite{Walmsley2017}</v>
      </c>
      <c r="B132" s="13" t="s">
        <v>157</v>
      </c>
      <c r="C132" s="13">
        <v>2017</v>
      </c>
      <c r="E132" s="13">
        <f t="shared" si="72"/>
        <v>2017</v>
      </c>
      <c r="F132" s="12">
        <f>LOOKUP(E132,Total_wind_installed_capacity!$A$3:$A$34,Total_wind_installed_capacity!$H$3:$H$34)</f>
        <v>530.78719999999998</v>
      </c>
      <c r="G132" s="18" t="s">
        <v>27</v>
      </c>
      <c r="H132" s="13" t="s">
        <v>33</v>
      </c>
      <c r="I132" s="18" t="s">
        <v>158</v>
      </c>
      <c r="J132" s="19">
        <f t="shared" si="65"/>
        <v>580</v>
      </c>
      <c r="K132" s="13">
        <v>15</v>
      </c>
      <c r="L132" s="20">
        <v>8700</v>
      </c>
      <c r="N132" s="13" t="s">
        <v>24</v>
      </c>
      <c r="O132" s="13">
        <v>40</v>
      </c>
      <c r="P132" s="13">
        <v>46</v>
      </c>
      <c r="Q132" s="13" t="s">
        <v>20</v>
      </c>
      <c r="R132" s="22" t="e">
        <f t="shared" si="66"/>
        <v>#REF!</v>
      </c>
      <c r="S132" s="25"/>
      <c r="T132" s="23" t="e">
        <f t="shared" si="73"/>
        <v>#REF!</v>
      </c>
      <c r="U132" s="23">
        <f t="shared" si="73"/>
        <v>0</v>
      </c>
      <c r="V132" s="6" t="e">
        <f t="shared" si="67"/>
        <v>#REF!</v>
      </c>
      <c r="W132" s="25"/>
      <c r="X132" s="6" t="e">
        <f t="shared" si="54"/>
        <v>#REF!</v>
      </c>
      <c r="Y132" s="6"/>
      <c r="Z132" s="13">
        <v>30</v>
      </c>
      <c r="AA132" s="24" t="e">
        <f t="shared" si="68"/>
        <v>#REF!</v>
      </c>
      <c r="AB132" s="24"/>
      <c r="AC132" s="25" t="e">
        <f t="shared" si="70"/>
        <v>#REF!</v>
      </c>
      <c r="AE132" s="32">
        <f t="shared" si="64"/>
        <v>9485029.9401197601</v>
      </c>
      <c r="AG132" s="25">
        <f t="shared" si="69"/>
        <v>1.090233326450547</v>
      </c>
      <c r="AI132" s="27">
        <f t="shared" si="47"/>
        <v>0.28866845116254658</v>
      </c>
      <c r="AJ132" s="20">
        <v>22000000</v>
      </c>
      <c r="AL132" s="13">
        <v>20</v>
      </c>
      <c r="AM132" s="20">
        <f t="shared" si="51"/>
        <v>440000000</v>
      </c>
      <c r="AN132" s="20">
        <f t="shared" si="45"/>
        <v>50574712.643678159</v>
      </c>
      <c r="AS132" s="25" t="e">
        <f t="shared" si="74"/>
        <v>#REF!</v>
      </c>
      <c r="AT132" s="25"/>
      <c r="AU132" s="25" t="e">
        <f>1/#REF!*100/Z132</f>
        <v>#REF!</v>
      </c>
      <c r="AW132" s="6"/>
      <c r="AX132" s="29">
        <f>3600/167</f>
        <v>21.556886227544911</v>
      </c>
      <c r="AY132" s="25"/>
      <c r="AZ132" s="6"/>
    </row>
    <row r="133" spans="1:53">
      <c r="A133" s="17" t="str">
        <f t="shared" si="71"/>
        <v>\cite{Walmsley2017}</v>
      </c>
      <c r="B133" s="13" t="s">
        <v>157</v>
      </c>
      <c r="C133" s="13">
        <v>2017</v>
      </c>
      <c r="E133" s="13">
        <f t="shared" si="72"/>
        <v>2017</v>
      </c>
      <c r="F133" s="12">
        <f>LOOKUP(E133,Total_wind_installed_capacity!$A$3:$A$34,Total_wind_installed_capacity!$H$3:$H$34)</f>
        <v>530.78719999999998</v>
      </c>
      <c r="G133" s="18" t="s">
        <v>27</v>
      </c>
      <c r="H133" s="13" t="s">
        <v>33</v>
      </c>
      <c r="I133" s="18" t="s">
        <v>158</v>
      </c>
      <c r="J133" s="19">
        <f t="shared" si="65"/>
        <v>230</v>
      </c>
      <c r="K133" s="13">
        <v>1</v>
      </c>
      <c r="L133" s="20">
        <v>230</v>
      </c>
      <c r="N133" s="13" t="s">
        <v>24</v>
      </c>
      <c r="O133" s="13">
        <v>30</v>
      </c>
      <c r="P133" s="13">
        <v>31.5</v>
      </c>
      <c r="Q133" s="13" t="s">
        <v>20</v>
      </c>
      <c r="R133" s="22" t="e">
        <f t="shared" si="66"/>
        <v>#REF!</v>
      </c>
      <c r="S133" s="25"/>
      <c r="T133" s="23" t="e">
        <f t="shared" si="73"/>
        <v>#REF!</v>
      </c>
      <c r="U133" s="23">
        <f t="shared" si="73"/>
        <v>0</v>
      </c>
      <c r="V133" s="6" t="e">
        <f>R133/$L133/1000</f>
        <v>#REF!</v>
      </c>
      <c r="W133" s="25"/>
      <c r="X133" s="6" t="e">
        <f t="shared" si="54"/>
        <v>#REF!</v>
      </c>
      <c r="Y133" s="6"/>
      <c r="Z133" s="13">
        <v>30</v>
      </c>
      <c r="AA133" s="24" t="e">
        <f t="shared" si="68"/>
        <v>#REF!</v>
      </c>
      <c r="AB133" s="24"/>
      <c r="AC133" s="25" t="e">
        <f t="shared" si="70"/>
        <v>#REF!</v>
      </c>
      <c r="AE133" s="32">
        <f t="shared" si="64"/>
        <v>522000</v>
      </c>
      <c r="AG133" s="25">
        <f t="shared" si="69"/>
        <v>2.2695652173913046</v>
      </c>
      <c r="AI133" s="27">
        <f t="shared" si="47"/>
        <v>0.43180464562239429</v>
      </c>
      <c r="AJ133" s="20">
        <v>870000</v>
      </c>
      <c r="AL133" s="13">
        <v>20</v>
      </c>
      <c r="AM133" s="20">
        <f t="shared" si="51"/>
        <v>17400000</v>
      </c>
      <c r="AN133" s="20">
        <f t="shared" si="45"/>
        <v>75652173.913043469</v>
      </c>
      <c r="AS133" s="25" t="e">
        <f t="shared" si="74"/>
        <v>#REF!</v>
      </c>
      <c r="AT133" s="25"/>
      <c r="AU133" s="25" t="e">
        <f>1/#REF!*100/Z133</f>
        <v>#REF!</v>
      </c>
      <c r="AW133" s="6"/>
      <c r="AX133" s="29">
        <f>3600/120</f>
        <v>30</v>
      </c>
      <c r="AY133" s="25"/>
      <c r="AZ133" s="6"/>
    </row>
    <row r="134" spans="1:53">
      <c r="A134" s="17" t="str">
        <f t="shared" si="71"/>
        <v>\cite{Nagashima2015}</v>
      </c>
      <c r="B134" s="13" t="s">
        <v>159</v>
      </c>
      <c r="C134" s="13">
        <v>2015</v>
      </c>
      <c r="E134" s="13">
        <f t="shared" si="72"/>
        <v>2015</v>
      </c>
      <c r="F134" s="12">
        <f>LOOKUP(E134,Total_wind_installed_capacity!$A$3:$A$34,Total_wind_installed_capacity!$H$3:$H$34)</f>
        <v>427.65899999999999</v>
      </c>
      <c r="G134" s="18" t="s">
        <v>74</v>
      </c>
      <c r="H134" s="13" t="s">
        <v>28</v>
      </c>
      <c r="I134" s="18" t="s">
        <v>160</v>
      </c>
      <c r="J134" s="19">
        <v>1650</v>
      </c>
      <c r="K134" s="13">
        <v>1</v>
      </c>
      <c r="L134" s="20">
        <f>J134*K134</f>
        <v>1650</v>
      </c>
      <c r="M134" s="21" t="s">
        <v>161</v>
      </c>
      <c r="N134" s="13" t="s">
        <v>24</v>
      </c>
      <c r="O134" s="13">
        <v>82</v>
      </c>
      <c r="Q134" s="13" t="s">
        <v>35</v>
      </c>
      <c r="R134" s="22">
        <f>(11.33+4+2.42+2.06+1.13+0.11+1.6+5.14)*1000000</f>
        <v>27790000</v>
      </c>
      <c r="T134" s="23">
        <f t="shared" si="73"/>
        <v>7719444.444444444</v>
      </c>
      <c r="U134" s="23">
        <f t="shared" si="73"/>
        <v>0</v>
      </c>
      <c r="V134" s="6">
        <f>R134/$L134/1000</f>
        <v>16.842424242424244</v>
      </c>
      <c r="W134" s="25"/>
      <c r="X134" s="6">
        <f t="shared" si="54"/>
        <v>4.6784511784511791</v>
      </c>
      <c r="Y134" s="6"/>
      <c r="AA134" s="24">
        <f>R134/3.6/100*IF($Z134&gt;0,$Z134,30)</f>
        <v>2315833.333333333</v>
      </c>
      <c r="AC134" s="25">
        <f t="shared" si="70"/>
        <v>4.0066320645905415E-2</v>
      </c>
      <c r="AE134" s="32">
        <f>(944.85+341.05+187.64+146.79+73.52+188.54+371.13)*1000</f>
        <v>2253520</v>
      </c>
      <c r="AG134" s="25">
        <f t="shared" si="69"/>
        <v>1.3657696969696969</v>
      </c>
      <c r="AI134" s="27">
        <f t="shared" si="47"/>
        <v>0.19994465199944653</v>
      </c>
      <c r="AJ134" s="20">
        <f>2890000</f>
        <v>2890000</v>
      </c>
      <c r="AL134" s="13">
        <v>20</v>
      </c>
      <c r="AM134" s="20">
        <f>AJ134*AL134</f>
        <v>57800000</v>
      </c>
      <c r="AN134" s="20">
        <f t="shared" si="45"/>
        <v>35030303.030303031</v>
      </c>
      <c r="AS134" s="25">
        <f t="shared" si="74"/>
        <v>0.48079584775086504</v>
      </c>
      <c r="AT134" s="25"/>
      <c r="AU134" s="25">
        <f>AA134/$AM134</f>
        <v>4.0066320645905415E-2</v>
      </c>
      <c r="AW134" s="6"/>
      <c r="AX134" s="29">
        <f>AE134*1000/AM134</f>
        <v>38.988235294117644</v>
      </c>
      <c r="AY134" s="25"/>
      <c r="AZ134" s="6"/>
    </row>
    <row r="135" spans="1:53">
      <c r="A135" s="17" t="str">
        <f t="shared" si="71"/>
        <v>\cite{Stanek2018}</v>
      </c>
      <c r="B135" s="13" t="s">
        <v>162</v>
      </c>
      <c r="C135" s="13">
        <v>2018</v>
      </c>
      <c r="E135" s="13">
        <f t="shared" si="72"/>
        <v>2018</v>
      </c>
      <c r="F135" s="12">
        <f>LOOKUP(E135,Total_wind_installed_capacity!$A$3:$A$34,Total_wind_installed_capacity!$H$3:$H$34)</f>
        <v>580.40440000000001</v>
      </c>
      <c r="G135" s="18" t="s">
        <v>27</v>
      </c>
      <c r="H135" s="13" t="s">
        <v>28</v>
      </c>
      <c r="I135" s="18" t="s">
        <v>163</v>
      </c>
      <c r="J135" s="19">
        <v>2000</v>
      </c>
      <c r="K135" s="13">
        <v>1</v>
      </c>
      <c r="L135" s="20">
        <f>J135*K135</f>
        <v>2000</v>
      </c>
      <c r="Q135" s="13" t="s">
        <v>35</v>
      </c>
      <c r="T135" s="23">
        <f t="shared" si="73"/>
        <v>0</v>
      </c>
      <c r="U135" s="23">
        <f t="shared" si="73"/>
        <v>0</v>
      </c>
      <c r="V135" s="25"/>
      <c r="W135" s="25"/>
      <c r="X135" s="6">
        <f t="shared" si="54"/>
        <v>0</v>
      </c>
      <c r="Y135" s="6"/>
      <c r="AC135" s="25">
        <f t="shared" si="70"/>
        <v>2.6099999999999998E-2</v>
      </c>
      <c r="AE135" s="32"/>
      <c r="AG135" s="25">
        <v>0</v>
      </c>
      <c r="AS135" s="25" t="e">
        <f t="shared" si="74"/>
        <v>#DIV/0!</v>
      </c>
      <c r="AT135" s="25"/>
      <c r="AU135" s="25">
        <v>8.6999999999999994E-2</v>
      </c>
      <c r="AW135" s="6"/>
      <c r="AY135" s="25"/>
      <c r="AZ135" s="6"/>
    </row>
    <row r="136" spans="1:53">
      <c r="A136" s="17" t="str">
        <f t="shared" si="71"/>
        <v>\cite{Stanek2018}</v>
      </c>
      <c r="B136" s="13" t="s">
        <v>162</v>
      </c>
      <c r="C136" s="13">
        <v>2018</v>
      </c>
      <c r="E136" s="13">
        <f t="shared" si="72"/>
        <v>2018</v>
      </c>
      <c r="F136" s="12">
        <f>LOOKUP(E136,Total_wind_installed_capacity!$A$3:$A$34,Total_wind_installed_capacity!$H$3:$H$34)</f>
        <v>580.40440000000001</v>
      </c>
      <c r="G136" s="18" t="s">
        <v>27</v>
      </c>
      <c r="H136" s="13" t="s">
        <v>28</v>
      </c>
      <c r="I136" s="18" t="s">
        <v>73</v>
      </c>
      <c r="J136" s="19">
        <v>2000</v>
      </c>
      <c r="K136" s="13">
        <v>1</v>
      </c>
      <c r="L136" s="20">
        <f>J136*K136</f>
        <v>2000</v>
      </c>
      <c r="Q136" s="13" t="s">
        <v>35</v>
      </c>
      <c r="T136" s="23">
        <f t="shared" si="73"/>
        <v>0</v>
      </c>
      <c r="U136" s="23">
        <f t="shared" si="73"/>
        <v>0</v>
      </c>
      <c r="V136" s="25"/>
      <c r="W136" s="25"/>
      <c r="X136" s="6">
        <f t="shared" si="54"/>
        <v>0</v>
      </c>
      <c r="Y136" s="6"/>
      <c r="AC136" s="25">
        <f t="shared" si="70"/>
        <v>1.89E-2</v>
      </c>
      <c r="AE136" s="32"/>
      <c r="AG136" s="25">
        <v>0</v>
      </c>
      <c r="AS136" s="25" t="e">
        <f t="shared" si="74"/>
        <v>#DIV/0!</v>
      </c>
      <c r="AT136" s="25"/>
      <c r="AU136" s="25">
        <v>6.3E-2</v>
      </c>
      <c r="AW136" s="6"/>
      <c r="AY136" s="25"/>
      <c r="AZ136" s="6"/>
    </row>
    <row r="137" spans="1:53">
      <c r="A137" s="17" t="str">
        <f t="shared" si="71"/>
        <v>\cite{Danthurebandara2018}</v>
      </c>
      <c r="B137" s="13" t="s">
        <v>164</v>
      </c>
      <c r="C137" s="13">
        <v>2018</v>
      </c>
      <c r="E137" s="13">
        <f t="shared" si="72"/>
        <v>2018</v>
      </c>
      <c r="F137" s="12">
        <f>LOOKUP(E137,Total_wind_installed_capacity!$A$3:$A$34,Total_wind_installed_capacity!$H$3:$H$34)</f>
        <v>580.40440000000001</v>
      </c>
      <c r="G137" s="18" t="s">
        <v>27</v>
      </c>
      <c r="H137" s="13" t="s">
        <v>86</v>
      </c>
      <c r="I137" s="18" t="s">
        <v>165</v>
      </c>
      <c r="J137" s="19">
        <v>2000</v>
      </c>
      <c r="K137" s="13">
        <v>1</v>
      </c>
      <c r="L137" s="20">
        <f>J137*K137</f>
        <v>2000</v>
      </c>
      <c r="Q137" s="13" t="s">
        <v>35</v>
      </c>
      <c r="T137" s="23">
        <f t="shared" si="73"/>
        <v>0</v>
      </c>
      <c r="U137" s="23">
        <f t="shared" si="73"/>
        <v>0</v>
      </c>
      <c r="V137" s="25"/>
      <c r="W137" s="25"/>
      <c r="X137" s="6">
        <f t="shared" si="54"/>
        <v>0</v>
      </c>
      <c r="Y137" s="6"/>
      <c r="AC137" s="25">
        <f t="shared" si="70"/>
        <v>0</v>
      </c>
      <c r="AE137" s="32">
        <f t="shared" ref="AE137:AE143" si="75">AX137*AM137/1000</f>
        <v>4655792</v>
      </c>
      <c r="AG137" s="25">
        <f t="shared" ref="AG137:AG143" si="76">AE137/$L137/1000</f>
        <v>2.327896</v>
      </c>
      <c r="AI137" s="27">
        <f>2000/8760</f>
        <v>0.22831050228310501</v>
      </c>
      <c r="AJ137" s="20">
        <f>AI137*8760*L137</f>
        <v>4000000</v>
      </c>
      <c r="AL137" s="13">
        <v>20</v>
      </c>
      <c r="AM137" s="20">
        <f>AJ137*AL137</f>
        <v>80000000</v>
      </c>
      <c r="AN137" s="20">
        <f t="shared" ref="AN137:AN145" si="77">AM137/L137*1000</f>
        <v>40000000</v>
      </c>
      <c r="AS137" s="25">
        <f t="shared" si="74"/>
        <v>0</v>
      </c>
      <c r="AT137" s="25"/>
      <c r="AU137" s="25"/>
      <c r="AW137" s="6"/>
      <c r="AX137" s="29">
        <f>(0.0172+0.041-0.0000026)*1000</f>
        <v>58.197400000000002</v>
      </c>
      <c r="AY137" s="25"/>
      <c r="AZ137" s="6"/>
    </row>
    <row r="138" spans="1:53">
      <c r="A138" s="17" t="str">
        <f t="shared" si="71"/>
        <v>\cite{Gao2019}</v>
      </c>
      <c r="B138" s="13" t="s">
        <v>141</v>
      </c>
      <c r="C138" s="13">
        <v>2019</v>
      </c>
      <c r="E138" s="13">
        <f t="shared" si="72"/>
        <v>2019</v>
      </c>
      <c r="F138" s="12">
        <f>LOOKUP(E138,Total_wind_installed_capacity!$A$3:$A$34,Total_wind_installed_capacity!$H$3:$H$34)</f>
        <v>643.43574999999998</v>
      </c>
      <c r="G138" s="18" t="s">
        <v>27</v>
      </c>
      <c r="H138" s="13" t="s">
        <v>33</v>
      </c>
      <c r="I138" s="18" t="s">
        <v>19</v>
      </c>
      <c r="J138" s="19">
        <f>L138/K138</f>
        <v>1500</v>
      </c>
      <c r="K138" s="13">
        <v>134</v>
      </c>
      <c r="L138" s="20">
        <f>100*1500+34*1500</f>
        <v>201000</v>
      </c>
      <c r="M138" s="21" t="s">
        <v>166</v>
      </c>
      <c r="N138" s="13" t="s">
        <v>24</v>
      </c>
      <c r="Q138" s="13" t="s">
        <v>20</v>
      </c>
      <c r="R138" s="22">
        <f>270.53*AM138/1000</f>
        <v>2261630800</v>
      </c>
      <c r="T138" s="23">
        <f t="shared" si="73"/>
        <v>628230777.77777779</v>
      </c>
      <c r="U138" s="23">
        <f t="shared" si="73"/>
        <v>0</v>
      </c>
      <c r="V138" s="6">
        <f>R138/$L138/1000</f>
        <v>11.251894527363184</v>
      </c>
      <c r="W138" s="25"/>
      <c r="X138" s="6">
        <f t="shared" si="54"/>
        <v>3.1255262576008844</v>
      </c>
      <c r="Y138" s="6"/>
      <c r="AA138" s="24">
        <f>R138/3.6/100*IF($Z138&gt;0,$Z138,30)</f>
        <v>188469233.33333334</v>
      </c>
      <c r="AC138" s="25">
        <f t="shared" si="70"/>
        <v>2.2544166666666667E-2</v>
      </c>
      <c r="AE138" s="32">
        <f t="shared" si="75"/>
        <v>431292400</v>
      </c>
      <c r="AG138" s="25">
        <f>AE138/$L138/1000</f>
        <v>2.1457333333333333</v>
      </c>
      <c r="AI138" s="27">
        <f t="shared" ref="AI138:AI145" si="78">AJ138/L138/8760</f>
        <v>0.23739748744860176</v>
      </c>
      <c r="AJ138" s="20">
        <f>418000000</f>
        <v>418000000</v>
      </c>
      <c r="AL138" s="13">
        <v>20</v>
      </c>
      <c r="AM138" s="20">
        <f t="shared" ref="AM138:AM145" si="79">AJ138*AL138</f>
        <v>8360000000</v>
      </c>
      <c r="AN138" s="20">
        <f t="shared" si="77"/>
        <v>41592039.800995022</v>
      </c>
      <c r="AS138" s="25">
        <f t="shared" si="74"/>
        <v>0.27052999999999999</v>
      </c>
      <c r="AT138" s="25"/>
      <c r="AU138" s="25">
        <f t="shared" ref="AU138:AU145" si="80">T138/AM138</f>
        <v>7.5147222222222226E-2</v>
      </c>
      <c r="AW138" s="6"/>
      <c r="AX138" s="29">
        <f>33.5+9.71+5.03+3.35</f>
        <v>51.59</v>
      </c>
      <c r="AY138" s="25"/>
      <c r="AZ138" s="6"/>
      <c r="BA138" s="18" t="s">
        <v>167</v>
      </c>
    </row>
    <row r="139" spans="1:53">
      <c r="A139" s="17" t="str">
        <f t="shared" si="71"/>
        <v>\cite{Gao2019}</v>
      </c>
      <c r="B139" s="13" t="s">
        <v>141</v>
      </c>
      <c r="C139" s="13">
        <v>2019</v>
      </c>
      <c r="E139" s="13">
        <f t="shared" si="72"/>
        <v>2019</v>
      </c>
      <c r="F139" s="12">
        <f>LOOKUP(E139,Total_wind_installed_capacity!$A$3:$A$34,Total_wind_installed_capacity!$H$3:$H$34)</f>
        <v>643.43574999999998</v>
      </c>
      <c r="G139" s="18" t="s">
        <v>27</v>
      </c>
      <c r="H139" s="13" t="s">
        <v>33</v>
      </c>
      <c r="I139" s="18" t="s">
        <v>19</v>
      </c>
      <c r="J139" s="19">
        <v>850</v>
      </c>
      <c r="K139" s="13">
        <v>26</v>
      </c>
      <c r="L139" s="20">
        <f t="shared" ref="L139:L181" si="81">J139*K139</f>
        <v>22100</v>
      </c>
      <c r="M139" s="21" t="s">
        <v>168</v>
      </c>
      <c r="N139" s="13" t="s">
        <v>24</v>
      </c>
      <c r="Q139" s="13" t="s">
        <v>20</v>
      </c>
      <c r="R139" s="22">
        <v>306000000</v>
      </c>
      <c r="T139" s="23">
        <f t="shared" si="73"/>
        <v>85000000</v>
      </c>
      <c r="U139" s="23">
        <f t="shared" si="73"/>
        <v>0</v>
      </c>
      <c r="V139" s="6">
        <f>R139/$L139/1000</f>
        <v>13.846153846153845</v>
      </c>
      <c r="W139" s="25"/>
      <c r="X139" s="6">
        <f t="shared" si="54"/>
        <v>3.8461538461538458</v>
      </c>
      <c r="Y139" s="6"/>
      <c r="AA139" s="24">
        <f>R139/3.6/100*IF($Z139&gt;0,$Z139,30)</f>
        <v>25500000</v>
      </c>
      <c r="AC139" s="25">
        <f t="shared" si="70"/>
        <v>2.1356783919597989E-2</v>
      </c>
      <c r="AE139" s="32">
        <f t="shared" si="75"/>
        <v>78720419.999999985</v>
      </c>
      <c r="AG139" s="25">
        <f t="shared" si="76"/>
        <v>3.5620099547511304</v>
      </c>
      <c r="AI139" s="27">
        <f t="shared" si="78"/>
        <v>0.30837413996156948</v>
      </c>
      <c r="AJ139" s="20">
        <v>59700000</v>
      </c>
      <c r="AL139" s="13">
        <v>20</v>
      </c>
      <c r="AM139" s="20">
        <f t="shared" si="79"/>
        <v>1194000000</v>
      </c>
      <c r="AN139" s="20">
        <f t="shared" si="77"/>
        <v>54027149.321266964</v>
      </c>
      <c r="AS139" s="25">
        <f t="shared" si="74"/>
        <v>0.25628140703517588</v>
      </c>
      <c r="AT139" s="25"/>
      <c r="AU139" s="25">
        <f t="shared" si="80"/>
        <v>7.1189279731993294E-2</v>
      </c>
      <c r="AW139" s="6"/>
      <c r="AX139" s="29">
        <f>25.3+34.3+2.53+3.8</f>
        <v>65.929999999999993</v>
      </c>
      <c r="AY139" s="25"/>
      <c r="AZ139" s="6"/>
      <c r="BA139" s="18" t="s">
        <v>169</v>
      </c>
    </row>
    <row r="140" spans="1:53">
      <c r="A140" s="17" t="str">
        <f t="shared" si="71"/>
        <v>\cite{Gao2019}</v>
      </c>
      <c r="B140" s="13" t="s">
        <v>141</v>
      </c>
      <c r="C140" s="13">
        <v>2019</v>
      </c>
      <c r="E140" s="13">
        <f t="shared" si="72"/>
        <v>2019</v>
      </c>
      <c r="F140" s="12">
        <f>LOOKUP(E140,Total_wind_installed_capacity!$A$3:$A$34,Total_wind_installed_capacity!$H$3:$H$34)</f>
        <v>643.43574999999998</v>
      </c>
      <c r="G140" s="18" t="s">
        <v>27</v>
      </c>
      <c r="H140" s="13" t="s">
        <v>33</v>
      </c>
      <c r="I140" s="18" t="s">
        <v>19</v>
      </c>
      <c r="J140" s="19">
        <v>850</v>
      </c>
      <c r="K140" s="13">
        <v>142</v>
      </c>
      <c r="L140" s="20">
        <f t="shared" si="81"/>
        <v>120700</v>
      </c>
      <c r="M140" s="21" t="s">
        <v>170</v>
      </c>
      <c r="N140" s="13" t="s">
        <v>24</v>
      </c>
      <c r="Q140" s="13" t="s">
        <v>20</v>
      </c>
      <c r="R140" s="22">
        <v>2469000000</v>
      </c>
      <c r="T140" s="23">
        <f t="shared" si="73"/>
        <v>685833333.33333337</v>
      </c>
      <c r="U140" s="23">
        <f t="shared" si="73"/>
        <v>0</v>
      </c>
      <c r="V140" s="6">
        <f>R140/$L140/1000</f>
        <v>20.455675227837617</v>
      </c>
      <c r="W140" s="25"/>
      <c r="X140" s="6">
        <f t="shared" si="54"/>
        <v>5.6821320077326716</v>
      </c>
      <c r="Y140" s="6"/>
      <c r="AA140" s="24">
        <f>R140/3.6/100*IF($Z140&gt;0,$Z140,30)</f>
        <v>205750000.00000003</v>
      </c>
      <c r="AC140" s="25">
        <f t="shared" si="70"/>
        <v>3.6096491228070182E-2</v>
      </c>
      <c r="AE140" s="32">
        <f t="shared" si="75"/>
        <v>493277999.99999994</v>
      </c>
      <c r="AG140" s="25">
        <f t="shared" si="76"/>
        <v>4.0868102734051366</v>
      </c>
      <c r="AI140" s="27">
        <f t="shared" si="78"/>
        <v>0.2695463676498962</v>
      </c>
      <c r="AJ140" s="20">
        <v>285000000</v>
      </c>
      <c r="AL140" s="13">
        <v>20</v>
      </c>
      <c r="AM140" s="20">
        <f t="shared" si="79"/>
        <v>5700000000</v>
      </c>
      <c r="AN140" s="20">
        <f t="shared" si="77"/>
        <v>47224523.612261809</v>
      </c>
      <c r="AS140" s="25">
        <f t="shared" si="74"/>
        <v>0.43315789473684213</v>
      </c>
      <c r="AT140" s="25"/>
      <c r="AU140" s="25">
        <f t="shared" si="80"/>
        <v>0.12032163742690059</v>
      </c>
      <c r="AW140" s="6"/>
      <c r="AX140" s="29">
        <f>49.3+24.9+7.4+4.94</f>
        <v>86.539999999999992</v>
      </c>
      <c r="AY140" s="25"/>
      <c r="AZ140" s="6"/>
      <c r="BA140" s="18" t="s">
        <v>171</v>
      </c>
    </row>
    <row r="141" spans="1:53">
      <c r="A141" s="17" t="str">
        <f t="shared" si="71"/>
        <v>\cite{Lombardi2018}</v>
      </c>
      <c r="B141" s="13" t="s">
        <v>172</v>
      </c>
      <c r="C141" s="13">
        <v>2018</v>
      </c>
      <c r="E141" s="13">
        <f t="shared" si="72"/>
        <v>2018</v>
      </c>
      <c r="F141" s="12">
        <f>LOOKUP(E141,Total_wind_installed_capacity!$A$3:$A$34,Total_wind_installed_capacity!$H$3:$H$34)</f>
        <v>580.40440000000001</v>
      </c>
      <c r="G141" s="18" t="s">
        <v>27</v>
      </c>
      <c r="H141" s="13" t="s">
        <v>33</v>
      </c>
      <c r="I141" s="18" t="s">
        <v>73</v>
      </c>
      <c r="J141" s="19">
        <v>1</v>
      </c>
      <c r="K141" s="13">
        <v>1</v>
      </c>
      <c r="L141" s="20">
        <f t="shared" si="81"/>
        <v>1</v>
      </c>
      <c r="M141" s="21" t="s">
        <v>173</v>
      </c>
      <c r="N141" s="13" t="s">
        <v>24</v>
      </c>
      <c r="O141" s="13">
        <v>2</v>
      </c>
      <c r="P141" s="13">
        <v>2</v>
      </c>
      <c r="R141" s="22">
        <f>2.36*AM141</f>
        <v>37760</v>
      </c>
      <c r="T141" s="23">
        <f t="shared" si="73"/>
        <v>10488.888888888889</v>
      </c>
      <c r="U141" s="23">
        <f t="shared" si="73"/>
        <v>0</v>
      </c>
      <c r="V141" s="6">
        <f t="shared" ref="V141:V142" si="82">R141/$L141/1000</f>
        <v>37.76</v>
      </c>
      <c r="W141" s="25"/>
      <c r="X141" s="6">
        <f t="shared" si="54"/>
        <v>10.488888888888889</v>
      </c>
      <c r="Y141" s="6"/>
      <c r="AA141" s="24">
        <f>R141/3.6/100*IF($Z141&gt;0,$Z141,30)</f>
        <v>3146.6666666666665</v>
      </c>
      <c r="AC141" s="25">
        <f t="shared" si="70"/>
        <v>0.19666666666666666</v>
      </c>
      <c r="AE141" s="32">
        <f t="shared" si="75"/>
        <v>3600</v>
      </c>
      <c r="AG141" s="25">
        <f t="shared" si="76"/>
        <v>3.6</v>
      </c>
      <c r="AI141" s="27">
        <f t="shared" si="78"/>
        <v>9.1324200913242004E-2</v>
      </c>
      <c r="AJ141" s="20">
        <v>800</v>
      </c>
      <c r="AL141" s="13">
        <v>20</v>
      </c>
      <c r="AM141" s="20">
        <f t="shared" si="79"/>
        <v>16000</v>
      </c>
      <c r="AN141" s="20">
        <f t="shared" si="77"/>
        <v>16000000</v>
      </c>
      <c r="AS141" s="25">
        <f t="shared" si="74"/>
        <v>2.36</v>
      </c>
      <c r="AT141" s="25"/>
      <c r="AU141" s="25">
        <f t="shared" si="80"/>
        <v>0.65555555555555556</v>
      </c>
      <c r="AW141" s="6"/>
      <c r="AX141" s="29">
        <v>225</v>
      </c>
      <c r="AY141" s="25"/>
      <c r="AZ141" s="6"/>
    </row>
    <row r="142" spans="1:53">
      <c r="A142" s="17" t="str">
        <f t="shared" si="71"/>
        <v>\cite{Lombardi2018}</v>
      </c>
      <c r="B142" s="13" t="s">
        <v>172</v>
      </c>
      <c r="C142" s="13">
        <v>2018</v>
      </c>
      <c r="E142" s="13">
        <f t="shared" si="72"/>
        <v>2018</v>
      </c>
      <c r="F142" s="12">
        <f>LOOKUP(E142,Total_wind_installed_capacity!$A$3:$A$34,Total_wind_installed_capacity!$H$3:$H$34)</f>
        <v>580.40440000000001</v>
      </c>
      <c r="G142" s="18" t="s">
        <v>27</v>
      </c>
      <c r="H142" s="13" t="s">
        <v>33</v>
      </c>
      <c r="I142" s="18" t="s">
        <v>73</v>
      </c>
      <c r="J142" s="19">
        <v>3</v>
      </c>
      <c r="K142" s="13">
        <v>1</v>
      </c>
      <c r="L142" s="20">
        <f t="shared" si="81"/>
        <v>3</v>
      </c>
      <c r="M142" s="21" t="s">
        <v>174</v>
      </c>
      <c r="N142" s="13" t="s">
        <v>24</v>
      </c>
      <c r="O142" s="13">
        <v>3.2</v>
      </c>
      <c r="P142" s="13">
        <v>3.5</v>
      </c>
      <c r="R142" s="22">
        <f>1.86*AM142</f>
        <v>90024</v>
      </c>
      <c r="T142" s="23">
        <f t="shared" si="73"/>
        <v>25006.666666666664</v>
      </c>
      <c r="U142" s="23">
        <f t="shared" si="73"/>
        <v>0</v>
      </c>
      <c r="V142" s="6">
        <f t="shared" si="82"/>
        <v>30.007999999999999</v>
      </c>
      <c r="W142" s="25"/>
      <c r="X142" s="6">
        <f t="shared" si="54"/>
        <v>8.3355555555555547</v>
      </c>
      <c r="Y142" s="6"/>
      <c r="AA142" s="24">
        <f>R142/3.6/100*IF($Z142&gt;0,$Z142,30)</f>
        <v>7501.9999999999991</v>
      </c>
      <c r="AC142" s="25">
        <f t="shared" si="70"/>
        <v>0.15499999999999997</v>
      </c>
      <c r="AE142" s="32">
        <f t="shared" si="75"/>
        <v>8566.7999999999993</v>
      </c>
      <c r="AG142" s="25">
        <f t="shared" si="76"/>
        <v>2.8555999999999999</v>
      </c>
      <c r="AI142" s="27">
        <f t="shared" si="78"/>
        <v>9.2085235920852354E-2</v>
      </c>
      <c r="AJ142" s="20">
        <v>2420</v>
      </c>
      <c r="AL142" s="13">
        <v>20</v>
      </c>
      <c r="AM142" s="20">
        <f t="shared" si="79"/>
        <v>48400</v>
      </c>
      <c r="AN142" s="20">
        <f t="shared" si="77"/>
        <v>16133333.333333334</v>
      </c>
      <c r="AS142" s="25">
        <f t="shared" si="74"/>
        <v>1.86</v>
      </c>
      <c r="AT142" s="25"/>
      <c r="AU142" s="25">
        <f t="shared" si="80"/>
        <v>0.51666666666666661</v>
      </c>
      <c r="AW142" s="6"/>
      <c r="AX142" s="29">
        <v>177</v>
      </c>
      <c r="AY142" s="25"/>
      <c r="AZ142" s="6"/>
    </row>
    <row r="143" spans="1:53">
      <c r="A143" s="17" t="str">
        <f t="shared" si="71"/>
        <v>\cite{Greening2013}</v>
      </c>
      <c r="B143" s="13" t="s">
        <v>175</v>
      </c>
      <c r="C143" s="13">
        <v>2013</v>
      </c>
      <c r="E143" s="13">
        <f t="shared" si="72"/>
        <v>2013</v>
      </c>
      <c r="F143" s="12">
        <f>LOOKUP(E143,Total_wind_installed_capacity!$A$3:$A$34,Total_wind_installed_capacity!$H$3:$H$34)</f>
        <v>310.36672750000002</v>
      </c>
      <c r="G143" s="18" t="s">
        <v>27</v>
      </c>
      <c r="H143" s="13" t="s">
        <v>33</v>
      </c>
      <c r="I143" s="18" t="s">
        <v>30</v>
      </c>
      <c r="J143" s="19">
        <v>6</v>
      </c>
      <c r="K143" s="13">
        <v>1</v>
      </c>
      <c r="L143" s="20">
        <f t="shared" si="81"/>
        <v>6</v>
      </c>
      <c r="N143" s="13" t="s">
        <v>24</v>
      </c>
      <c r="O143" s="13">
        <v>5.5</v>
      </c>
      <c r="P143" s="13">
        <v>9</v>
      </c>
      <c r="V143" s="25"/>
      <c r="W143" s="25"/>
      <c r="AC143" s="25">
        <f t="shared" si="70"/>
        <v>0</v>
      </c>
      <c r="AE143" s="32">
        <f t="shared" si="75"/>
        <v>7519.2</v>
      </c>
      <c r="AG143" s="25">
        <f t="shared" si="76"/>
        <v>1.2532000000000001</v>
      </c>
      <c r="AI143" s="27">
        <f t="shared" si="78"/>
        <v>0.14840182648401826</v>
      </c>
      <c r="AJ143" s="20">
        <v>7800</v>
      </c>
      <c r="AL143" s="13">
        <v>20</v>
      </c>
      <c r="AM143" s="20">
        <f t="shared" si="79"/>
        <v>156000</v>
      </c>
      <c r="AN143" s="20">
        <f t="shared" si="77"/>
        <v>26000000</v>
      </c>
      <c r="AS143" s="25">
        <f t="shared" si="74"/>
        <v>0</v>
      </c>
      <c r="AT143" s="25"/>
      <c r="AU143" s="25">
        <f t="shared" si="80"/>
        <v>0</v>
      </c>
      <c r="AW143" s="6"/>
      <c r="AX143" s="29">
        <v>48.2</v>
      </c>
      <c r="AY143" s="25"/>
      <c r="AZ143" s="6"/>
    </row>
    <row r="144" spans="1:53">
      <c r="A144" s="17" t="str">
        <f t="shared" si="71"/>
        <v>\cite{Greening2013}</v>
      </c>
      <c r="B144" s="13" t="s">
        <v>175</v>
      </c>
      <c r="C144" s="13">
        <v>2013</v>
      </c>
      <c r="E144" s="13">
        <f t="shared" si="72"/>
        <v>2013</v>
      </c>
      <c r="F144" s="12">
        <f>LOOKUP(E144,Total_wind_installed_capacity!$A$3:$A$34,Total_wind_installed_capacity!$H$3:$H$34)</f>
        <v>310.36672750000002</v>
      </c>
      <c r="G144" s="18" t="s">
        <v>27</v>
      </c>
      <c r="H144" s="13" t="s">
        <v>33</v>
      </c>
      <c r="I144" s="18" t="s">
        <v>30</v>
      </c>
      <c r="J144" s="19">
        <v>6</v>
      </c>
      <c r="K144" s="13">
        <v>1</v>
      </c>
      <c r="L144" s="20">
        <f t="shared" si="81"/>
        <v>6</v>
      </c>
      <c r="N144" s="13" t="s">
        <v>24</v>
      </c>
      <c r="O144" s="13">
        <v>5.5</v>
      </c>
      <c r="P144" s="13">
        <v>9</v>
      </c>
      <c r="V144" s="25"/>
      <c r="W144" s="25"/>
      <c r="AC144" s="25">
        <f t="shared" si="70"/>
        <v>0</v>
      </c>
      <c r="AE144" s="32">
        <v>7519.2</v>
      </c>
      <c r="AG144" s="25">
        <v>1.2532000000000001</v>
      </c>
      <c r="AI144" s="27">
        <f t="shared" si="78"/>
        <v>0.19025875190258754</v>
      </c>
      <c r="AJ144" s="20">
        <v>10000</v>
      </c>
      <c r="AL144" s="13">
        <v>20</v>
      </c>
      <c r="AM144" s="20">
        <f t="shared" si="79"/>
        <v>200000</v>
      </c>
      <c r="AN144" s="20">
        <f t="shared" si="77"/>
        <v>33333333.333333336</v>
      </c>
      <c r="AS144" s="25">
        <f t="shared" si="74"/>
        <v>0</v>
      </c>
      <c r="AT144" s="25"/>
      <c r="AU144" s="25">
        <f t="shared" si="80"/>
        <v>0</v>
      </c>
      <c r="AW144" s="6"/>
      <c r="AX144" s="29">
        <f>AE144/AM144*1000</f>
        <v>37.595999999999997</v>
      </c>
      <c r="AY144" s="25"/>
      <c r="AZ144" s="6"/>
    </row>
    <row r="145" spans="1:52">
      <c r="A145" s="17" t="str">
        <f t="shared" si="71"/>
        <v>\cite{Greening2013}</v>
      </c>
      <c r="B145" s="13" t="s">
        <v>175</v>
      </c>
      <c r="C145" s="13">
        <v>2013</v>
      </c>
      <c r="E145" s="13">
        <f t="shared" si="72"/>
        <v>2013</v>
      </c>
      <c r="F145" s="12">
        <f>LOOKUP(E145,Total_wind_installed_capacity!$A$3:$A$34,Total_wind_installed_capacity!$H$3:$H$34)</f>
        <v>310.36672750000002</v>
      </c>
      <c r="G145" s="18" t="s">
        <v>27</v>
      </c>
      <c r="H145" s="13" t="s">
        <v>33</v>
      </c>
      <c r="I145" s="18" t="s">
        <v>30</v>
      </c>
      <c r="J145" s="19">
        <v>6</v>
      </c>
      <c r="K145" s="13">
        <v>1</v>
      </c>
      <c r="L145" s="20">
        <f t="shared" si="81"/>
        <v>6</v>
      </c>
      <c r="N145" s="13" t="s">
        <v>24</v>
      </c>
      <c r="O145" s="13">
        <v>5.5</v>
      </c>
      <c r="P145" s="13">
        <v>9</v>
      </c>
      <c r="V145" s="25"/>
      <c r="W145" s="25"/>
      <c r="AC145" s="25">
        <f t="shared" si="70"/>
        <v>0</v>
      </c>
      <c r="AE145" s="32">
        <v>7519.2</v>
      </c>
      <c r="AG145" s="25">
        <v>1.2532000000000001</v>
      </c>
      <c r="AI145" s="27">
        <f t="shared" si="78"/>
        <v>0.34246575342465752</v>
      </c>
      <c r="AJ145" s="20">
        <v>18000</v>
      </c>
      <c r="AL145" s="13">
        <v>20</v>
      </c>
      <c r="AM145" s="20">
        <f t="shared" si="79"/>
        <v>360000</v>
      </c>
      <c r="AN145" s="20">
        <f t="shared" si="77"/>
        <v>60000000</v>
      </c>
      <c r="AS145" s="25">
        <f t="shared" si="74"/>
        <v>0</v>
      </c>
      <c r="AT145" s="25"/>
      <c r="AU145" s="25">
        <f t="shared" si="80"/>
        <v>0</v>
      </c>
      <c r="AW145" s="6"/>
      <c r="AX145" s="29">
        <f>AE145/AM145*1000</f>
        <v>20.886666666666663</v>
      </c>
      <c r="AY145" s="25"/>
      <c r="AZ145" s="6"/>
    </row>
    <row r="146" spans="1:52">
      <c r="A146" s="17" t="str">
        <f t="shared" si="71"/>
        <v>\cite{Cherif2016}</v>
      </c>
      <c r="B146" s="13" t="s">
        <v>176</v>
      </c>
      <c r="C146" s="13">
        <v>2016</v>
      </c>
      <c r="E146" s="13">
        <f t="shared" si="72"/>
        <v>2016</v>
      </c>
      <c r="F146" s="12">
        <f>LOOKUP(E146,Total_wind_installed_capacity!$A$3:$A$34,Total_wind_installed_capacity!$H$3:$H$34)</f>
        <v>480.73440000000005</v>
      </c>
      <c r="G146" s="18" t="s">
        <v>27</v>
      </c>
      <c r="H146" s="13" t="s">
        <v>86</v>
      </c>
      <c r="I146" s="26"/>
      <c r="J146" s="19">
        <v>1</v>
      </c>
      <c r="K146" s="13">
        <v>1</v>
      </c>
      <c r="L146" s="20">
        <f t="shared" si="81"/>
        <v>1</v>
      </c>
      <c r="M146" s="21" t="s">
        <v>177</v>
      </c>
      <c r="N146" s="13" t="s">
        <v>24</v>
      </c>
      <c r="R146" s="22">
        <v>12396</v>
      </c>
      <c r="T146" s="23">
        <f t="shared" ref="T146:T172" si="83">R146/3.6</f>
        <v>3443.333333333333</v>
      </c>
      <c r="V146" s="6">
        <f>R146/$L146/1000</f>
        <v>12.396000000000001</v>
      </c>
      <c r="W146" s="25"/>
      <c r="X146" s="6">
        <f t="shared" ref="X146:X172" si="84">V146/3.6</f>
        <v>3.4433333333333334</v>
      </c>
      <c r="Y146" s="6"/>
      <c r="AA146" s="24">
        <f t="shared" ref="AA146:AA172" si="85">R146/3.6/100*IF($Z146&gt;0,$Z146,30)</f>
        <v>1033</v>
      </c>
      <c r="AC146" s="25"/>
      <c r="AE146" s="32"/>
      <c r="AG146" s="25">
        <v>0</v>
      </c>
      <c r="AI146" s="27"/>
      <c r="AS146" s="25" t="e">
        <f t="shared" si="74"/>
        <v>#DIV/0!</v>
      </c>
      <c r="AT146" s="25"/>
      <c r="AU146" s="25"/>
      <c r="AW146" s="6"/>
      <c r="AY146" s="25"/>
      <c r="AZ146" s="6"/>
    </row>
    <row r="147" spans="1:52">
      <c r="A147" s="17" t="str">
        <f t="shared" si="71"/>
        <v>\cite{Cherif2016}</v>
      </c>
      <c r="B147" s="13" t="s">
        <v>176</v>
      </c>
      <c r="C147" s="13">
        <v>2016</v>
      </c>
      <c r="E147" s="13">
        <f t="shared" si="72"/>
        <v>2016</v>
      </c>
      <c r="F147" s="12">
        <f>LOOKUP(E147,Total_wind_installed_capacity!$A$3:$A$34,Total_wind_installed_capacity!$H$3:$H$34)</f>
        <v>480.73440000000005</v>
      </c>
      <c r="G147" s="18" t="s">
        <v>27</v>
      </c>
      <c r="H147" s="13" t="s">
        <v>86</v>
      </c>
      <c r="I147" s="26"/>
      <c r="J147" s="19">
        <v>1.5</v>
      </c>
      <c r="K147" s="13">
        <v>1</v>
      </c>
      <c r="L147" s="20">
        <f t="shared" si="81"/>
        <v>1.5</v>
      </c>
      <c r="M147" s="21" t="s">
        <v>178</v>
      </c>
      <c r="N147" s="13" t="s">
        <v>24</v>
      </c>
      <c r="R147" s="22">
        <v>17613</v>
      </c>
      <c r="T147" s="23">
        <f t="shared" si="83"/>
        <v>4892.5</v>
      </c>
      <c r="V147" s="6">
        <f t="shared" ref="V147:V172" si="86">R147/$L147/1000</f>
        <v>11.742000000000001</v>
      </c>
      <c r="W147" s="25"/>
      <c r="X147" s="6">
        <f t="shared" si="84"/>
        <v>3.2616666666666667</v>
      </c>
      <c r="Y147" s="6"/>
      <c r="AA147" s="24">
        <f t="shared" si="85"/>
        <v>1467.75</v>
      </c>
      <c r="AC147" s="25"/>
      <c r="AE147" s="32"/>
      <c r="AG147" s="25">
        <v>0</v>
      </c>
      <c r="AI147" s="27"/>
      <c r="AS147" s="25" t="e">
        <f t="shared" si="74"/>
        <v>#DIV/0!</v>
      </c>
      <c r="AT147" s="25"/>
      <c r="AU147" s="25"/>
      <c r="AW147" s="6"/>
      <c r="AY147" s="25"/>
      <c r="AZ147" s="6"/>
    </row>
    <row r="148" spans="1:52">
      <c r="A148" s="17" t="str">
        <f t="shared" si="71"/>
        <v>\cite{Cherif2016}</v>
      </c>
      <c r="B148" s="13" t="s">
        <v>176</v>
      </c>
      <c r="C148" s="13">
        <v>2016</v>
      </c>
      <c r="E148" s="13">
        <f t="shared" si="72"/>
        <v>2016</v>
      </c>
      <c r="F148" s="12">
        <f>LOOKUP(E148,Total_wind_installed_capacity!$A$3:$A$34,Total_wind_installed_capacity!$H$3:$H$34)</f>
        <v>480.73440000000005</v>
      </c>
      <c r="G148" s="18" t="s">
        <v>27</v>
      </c>
      <c r="H148" s="13" t="s">
        <v>86</v>
      </c>
      <c r="I148" s="26"/>
      <c r="J148" s="19">
        <v>10</v>
      </c>
      <c r="K148" s="13">
        <v>1</v>
      </c>
      <c r="L148" s="20">
        <f t="shared" si="81"/>
        <v>10</v>
      </c>
      <c r="M148" s="21" t="s">
        <v>179</v>
      </c>
      <c r="N148" s="13" t="s">
        <v>24</v>
      </c>
      <c r="R148" s="22">
        <v>94589</v>
      </c>
      <c r="T148" s="23">
        <f t="shared" si="83"/>
        <v>26274.722222222223</v>
      </c>
      <c r="V148" s="6">
        <f t="shared" si="86"/>
        <v>9.4588999999999999</v>
      </c>
      <c r="W148" s="25"/>
      <c r="X148" s="6">
        <f t="shared" si="84"/>
        <v>2.627472222222222</v>
      </c>
      <c r="Y148" s="6"/>
      <c r="AA148" s="24">
        <f t="shared" si="85"/>
        <v>7882.4166666666661</v>
      </c>
      <c r="AC148" s="25"/>
      <c r="AE148" s="32"/>
      <c r="AG148" s="25">
        <v>0</v>
      </c>
      <c r="AI148" s="27"/>
      <c r="AS148" s="25" t="e">
        <f t="shared" si="74"/>
        <v>#DIV/0!</v>
      </c>
      <c r="AT148" s="25"/>
      <c r="AU148" s="25"/>
      <c r="AW148" s="6"/>
      <c r="AY148" s="25"/>
      <c r="AZ148" s="6"/>
    </row>
    <row r="149" spans="1:52">
      <c r="A149" s="17" t="str">
        <f t="shared" si="71"/>
        <v>\cite{Cherif2016}</v>
      </c>
      <c r="B149" s="13" t="s">
        <v>176</v>
      </c>
      <c r="C149" s="13">
        <v>2016</v>
      </c>
      <c r="E149" s="13">
        <f t="shared" si="72"/>
        <v>2016</v>
      </c>
      <c r="F149" s="12">
        <f>LOOKUP(E149,Total_wind_installed_capacity!$A$3:$A$34,Total_wind_installed_capacity!$H$3:$H$34)</f>
        <v>480.73440000000005</v>
      </c>
      <c r="G149" s="18" t="s">
        <v>27</v>
      </c>
      <c r="H149" s="13" t="s">
        <v>86</v>
      </c>
      <c r="I149" s="26"/>
      <c r="J149" s="19">
        <v>0.6</v>
      </c>
      <c r="K149" s="13">
        <v>1</v>
      </c>
      <c r="L149" s="20">
        <f t="shared" si="81"/>
        <v>0.6</v>
      </c>
      <c r="M149" s="21" t="s">
        <v>181</v>
      </c>
      <c r="N149" s="13" t="s">
        <v>24</v>
      </c>
      <c r="R149" s="22">
        <v>12874</v>
      </c>
      <c r="T149" s="23">
        <f t="shared" si="83"/>
        <v>3576.1111111111109</v>
      </c>
      <c r="V149" s="6">
        <f t="shared" si="86"/>
        <v>21.456666666666667</v>
      </c>
      <c r="W149" s="25"/>
      <c r="X149" s="6">
        <f t="shared" si="84"/>
        <v>5.9601851851851855</v>
      </c>
      <c r="Y149" s="6"/>
      <c r="AA149" s="24">
        <f t="shared" si="85"/>
        <v>1072.8333333333333</v>
      </c>
      <c r="AC149" s="25"/>
      <c r="AE149" s="32" t="s">
        <v>180</v>
      </c>
      <c r="AG149" s="25">
        <v>0</v>
      </c>
      <c r="AI149" s="27"/>
      <c r="AS149" s="25" t="e">
        <f t="shared" si="74"/>
        <v>#DIV/0!</v>
      </c>
      <c r="AT149" s="25"/>
      <c r="AU149" s="25"/>
      <c r="AW149" s="6"/>
      <c r="AY149" s="25"/>
      <c r="AZ149" s="6"/>
    </row>
    <row r="150" spans="1:52">
      <c r="A150" s="17" t="str">
        <f t="shared" si="71"/>
        <v>\cite{Cherif2016}</v>
      </c>
      <c r="B150" s="13" t="s">
        <v>176</v>
      </c>
      <c r="C150" s="13">
        <v>2016</v>
      </c>
      <c r="E150" s="13">
        <f t="shared" si="72"/>
        <v>2016</v>
      </c>
      <c r="F150" s="12">
        <f>LOOKUP(E150,Total_wind_installed_capacity!$A$3:$A$34,Total_wind_installed_capacity!$H$3:$H$34)</f>
        <v>480.73440000000005</v>
      </c>
      <c r="G150" s="18" t="s">
        <v>27</v>
      </c>
      <c r="H150" s="13" t="s">
        <v>86</v>
      </c>
      <c r="I150" s="26"/>
      <c r="J150" s="19">
        <v>2.5</v>
      </c>
      <c r="K150" s="13">
        <v>1</v>
      </c>
      <c r="L150" s="20">
        <f t="shared" si="81"/>
        <v>2.5</v>
      </c>
      <c r="M150" s="21" t="s">
        <v>182</v>
      </c>
      <c r="N150" s="13" t="s">
        <v>24</v>
      </c>
      <c r="R150" s="22">
        <v>29240</v>
      </c>
      <c r="T150" s="23">
        <f t="shared" si="83"/>
        <v>8122.2222222222217</v>
      </c>
      <c r="V150" s="6">
        <f t="shared" si="86"/>
        <v>11.696</v>
      </c>
      <c r="W150" s="25"/>
      <c r="X150" s="6">
        <f t="shared" si="84"/>
        <v>3.2488888888888887</v>
      </c>
      <c r="Y150" s="6"/>
      <c r="AA150" s="24">
        <f t="shared" si="85"/>
        <v>2436.6666666666665</v>
      </c>
      <c r="AC150" s="25"/>
      <c r="AE150" s="32"/>
      <c r="AG150" s="25">
        <v>0</v>
      </c>
      <c r="AI150" s="27"/>
      <c r="AS150" s="25" t="e">
        <f t="shared" si="74"/>
        <v>#DIV/0!</v>
      </c>
      <c r="AT150" s="25"/>
      <c r="AU150" s="25"/>
      <c r="AW150" s="6"/>
      <c r="AY150" s="25"/>
      <c r="AZ150" s="6"/>
    </row>
    <row r="151" spans="1:52">
      <c r="A151" s="17" t="str">
        <f t="shared" si="71"/>
        <v>\cite{Cherif2016}</v>
      </c>
      <c r="B151" s="13" t="s">
        <v>176</v>
      </c>
      <c r="C151" s="13">
        <v>2016</v>
      </c>
      <c r="E151" s="13">
        <f t="shared" si="72"/>
        <v>2016</v>
      </c>
      <c r="F151" s="12">
        <f>LOOKUP(E151,Total_wind_installed_capacity!$A$3:$A$34,Total_wind_installed_capacity!$H$3:$H$34)</f>
        <v>480.73440000000005</v>
      </c>
      <c r="G151" s="18" t="s">
        <v>27</v>
      </c>
      <c r="H151" s="13" t="s">
        <v>86</v>
      </c>
      <c r="I151" s="26"/>
      <c r="J151" s="19">
        <v>6</v>
      </c>
      <c r="K151" s="13">
        <v>1</v>
      </c>
      <c r="L151" s="20">
        <f t="shared" si="81"/>
        <v>6</v>
      </c>
      <c r="M151" s="21" t="s">
        <v>183</v>
      </c>
      <c r="N151" s="13" t="s">
        <v>24</v>
      </c>
      <c r="R151" s="22">
        <v>66281</v>
      </c>
      <c r="T151" s="23">
        <f t="shared" si="83"/>
        <v>18411.388888888887</v>
      </c>
      <c r="V151" s="6">
        <f t="shared" si="86"/>
        <v>11.046833333333334</v>
      </c>
      <c r="W151" s="25"/>
      <c r="X151" s="6">
        <f t="shared" si="84"/>
        <v>3.068564814814815</v>
      </c>
      <c r="Y151" s="6"/>
      <c r="AA151" s="24">
        <f t="shared" si="85"/>
        <v>5523.4166666666661</v>
      </c>
      <c r="AC151" s="25"/>
      <c r="AE151" s="32"/>
      <c r="AG151" s="25">
        <v>0</v>
      </c>
      <c r="AI151" s="27"/>
      <c r="AS151" s="25" t="e">
        <f t="shared" si="74"/>
        <v>#DIV/0!</v>
      </c>
      <c r="AT151" s="25"/>
      <c r="AU151" s="25"/>
      <c r="AW151" s="6"/>
      <c r="AY151" s="25"/>
      <c r="AZ151" s="6"/>
    </row>
    <row r="152" spans="1:52">
      <c r="A152" s="17" t="str">
        <f t="shared" si="71"/>
        <v>\cite{Cherif2016}</v>
      </c>
      <c r="B152" s="13" t="s">
        <v>176</v>
      </c>
      <c r="C152" s="13">
        <v>2016</v>
      </c>
      <c r="E152" s="13">
        <f t="shared" si="72"/>
        <v>2016</v>
      </c>
      <c r="F152" s="12">
        <f>LOOKUP(E152,Total_wind_installed_capacity!$A$3:$A$34,Total_wind_installed_capacity!$H$3:$H$34)</f>
        <v>480.73440000000005</v>
      </c>
      <c r="G152" s="18" t="s">
        <v>27</v>
      </c>
      <c r="H152" s="13" t="s">
        <v>86</v>
      </c>
      <c r="I152" s="26"/>
      <c r="J152" s="19">
        <v>15</v>
      </c>
      <c r="K152" s="13">
        <v>1</v>
      </c>
      <c r="L152" s="20">
        <f t="shared" si="81"/>
        <v>15</v>
      </c>
      <c r="M152" s="21" t="s">
        <v>184</v>
      </c>
      <c r="N152" s="13" t="s">
        <v>24</v>
      </c>
      <c r="R152" s="22">
        <v>151990</v>
      </c>
      <c r="T152" s="23">
        <f t="shared" si="83"/>
        <v>42219.444444444445</v>
      </c>
      <c r="V152" s="6">
        <f t="shared" si="86"/>
        <v>10.132666666666665</v>
      </c>
      <c r="W152" s="25"/>
      <c r="X152" s="6">
        <f t="shared" si="84"/>
        <v>2.8146296296296294</v>
      </c>
      <c r="Y152" s="6"/>
      <c r="AA152" s="24">
        <f t="shared" si="85"/>
        <v>12665.833333333334</v>
      </c>
      <c r="AC152" s="25"/>
      <c r="AE152" s="32"/>
      <c r="AG152" s="25">
        <v>0</v>
      </c>
      <c r="AI152" s="27"/>
      <c r="AS152" s="25" t="e">
        <f t="shared" si="74"/>
        <v>#DIV/0!</v>
      </c>
      <c r="AT152" s="25"/>
      <c r="AU152" s="25"/>
      <c r="AW152" s="6"/>
      <c r="AY152" s="25"/>
      <c r="AZ152" s="6"/>
    </row>
    <row r="153" spans="1:52">
      <c r="A153" s="17" t="str">
        <f t="shared" si="71"/>
        <v>\cite{Cherif2016}</v>
      </c>
      <c r="B153" s="13" t="s">
        <v>176</v>
      </c>
      <c r="C153" s="13">
        <v>2016</v>
      </c>
      <c r="E153" s="13">
        <f t="shared" si="72"/>
        <v>2016</v>
      </c>
      <c r="F153" s="12">
        <f>LOOKUP(E153,Total_wind_installed_capacity!$A$3:$A$34,Total_wind_installed_capacity!$H$3:$H$34)</f>
        <v>480.73440000000005</v>
      </c>
      <c r="G153" s="18" t="s">
        <v>27</v>
      </c>
      <c r="H153" s="13" t="s">
        <v>86</v>
      </c>
      <c r="I153" s="26"/>
      <c r="J153" s="19">
        <v>0.6</v>
      </c>
      <c r="K153" s="13">
        <v>1</v>
      </c>
      <c r="L153" s="20">
        <f t="shared" si="81"/>
        <v>0.6</v>
      </c>
      <c r="M153" s="21" t="s">
        <v>185</v>
      </c>
      <c r="N153" s="13" t="s">
        <v>24</v>
      </c>
      <c r="R153" s="22">
        <v>6818.9</v>
      </c>
      <c r="T153" s="23">
        <f t="shared" si="83"/>
        <v>1894.1388888888887</v>
      </c>
      <c r="V153" s="6">
        <f t="shared" si="86"/>
        <v>11.364833333333333</v>
      </c>
      <c r="W153" s="25"/>
      <c r="X153" s="6">
        <f t="shared" si="84"/>
        <v>3.156898148148148</v>
      </c>
      <c r="Y153" s="6"/>
      <c r="AA153" s="24">
        <f t="shared" si="85"/>
        <v>568.24166666666667</v>
      </c>
      <c r="AC153" s="25"/>
      <c r="AE153" s="32"/>
      <c r="AG153" s="25">
        <v>0</v>
      </c>
      <c r="AI153" s="27"/>
      <c r="AS153" s="25" t="e">
        <f t="shared" si="74"/>
        <v>#DIV/0!</v>
      </c>
      <c r="AT153" s="25"/>
      <c r="AU153" s="25"/>
      <c r="AW153" s="6"/>
      <c r="AY153" s="25"/>
      <c r="AZ153" s="6"/>
    </row>
    <row r="154" spans="1:52">
      <c r="A154" s="17" t="str">
        <f t="shared" si="71"/>
        <v>\cite{Cherif2016}</v>
      </c>
      <c r="B154" s="13" t="s">
        <v>176</v>
      </c>
      <c r="C154" s="13">
        <v>2016</v>
      </c>
      <c r="E154" s="13">
        <f t="shared" si="72"/>
        <v>2016</v>
      </c>
      <c r="F154" s="12">
        <f>LOOKUP(E154,Total_wind_installed_capacity!$A$3:$A$34,Total_wind_installed_capacity!$H$3:$H$34)</f>
        <v>480.73440000000005</v>
      </c>
      <c r="G154" s="18" t="s">
        <v>27</v>
      </c>
      <c r="H154" s="13" t="s">
        <v>86</v>
      </c>
      <c r="I154" s="26"/>
      <c r="J154" s="19">
        <v>1</v>
      </c>
      <c r="K154" s="13">
        <v>1</v>
      </c>
      <c r="L154" s="20">
        <f t="shared" si="81"/>
        <v>1</v>
      </c>
      <c r="M154" s="21" t="s">
        <v>186</v>
      </c>
      <c r="N154" s="13" t="s">
        <v>24</v>
      </c>
      <c r="R154" s="22">
        <v>9376.2999999999993</v>
      </c>
      <c r="T154" s="23">
        <f t="shared" si="83"/>
        <v>2604.5277777777774</v>
      </c>
      <c r="V154" s="6">
        <f t="shared" si="86"/>
        <v>9.3762999999999987</v>
      </c>
      <c r="W154" s="25"/>
      <c r="X154" s="6">
        <f t="shared" si="84"/>
        <v>2.6045277777777773</v>
      </c>
      <c r="Y154" s="6"/>
      <c r="AA154" s="24">
        <f t="shared" si="85"/>
        <v>781.35833333333323</v>
      </c>
      <c r="AC154" s="25"/>
      <c r="AE154" s="32"/>
      <c r="AG154" s="25">
        <v>0</v>
      </c>
      <c r="AI154" s="27"/>
      <c r="AS154" s="25" t="e">
        <f t="shared" si="74"/>
        <v>#DIV/0!</v>
      </c>
      <c r="AT154" s="25"/>
      <c r="AU154" s="25"/>
      <c r="AW154" s="6"/>
      <c r="AY154" s="25"/>
      <c r="AZ154" s="6"/>
    </row>
    <row r="155" spans="1:52">
      <c r="A155" s="17" t="str">
        <f t="shared" si="71"/>
        <v>\cite{Cherif2016}</v>
      </c>
      <c r="B155" s="13" t="s">
        <v>176</v>
      </c>
      <c r="C155" s="13">
        <v>2016</v>
      </c>
      <c r="E155" s="13">
        <f t="shared" si="72"/>
        <v>2016</v>
      </c>
      <c r="F155" s="12">
        <f>LOOKUP(E155,Total_wind_installed_capacity!$A$3:$A$34,Total_wind_installed_capacity!$H$3:$H$34)</f>
        <v>480.73440000000005</v>
      </c>
      <c r="G155" s="18" t="s">
        <v>27</v>
      </c>
      <c r="H155" s="13" t="s">
        <v>86</v>
      </c>
      <c r="I155" s="26"/>
      <c r="J155" s="19">
        <v>0.4</v>
      </c>
      <c r="K155" s="13">
        <v>1</v>
      </c>
      <c r="L155" s="20">
        <f t="shared" si="81"/>
        <v>0.4</v>
      </c>
      <c r="M155" s="21" t="s">
        <v>187</v>
      </c>
      <c r="N155" s="13" t="s">
        <v>24</v>
      </c>
      <c r="R155" s="22">
        <v>5311.6</v>
      </c>
      <c r="T155" s="23">
        <f t="shared" si="83"/>
        <v>1475.4444444444446</v>
      </c>
      <c r="V155" s="6">
        <f t="shared" si="86"/>
        <v>13.279</v>
      </c>
      <c r="W155" s="25"/>
      <c r="X155" s="6">
        <f t="shared" si="84"/>
        <v>3.6886111111111108</v>
      </c>
      <c r="Y155" s="6"/>
      <c r="AA155" s="24">
        <f t="shared" si="85"/>
        <v>442.63333333333333</v>
      </c>
      <c r="AC155" s="25"/>
      <c r="AE155" s="32"/>
      <c r="AG155" s="25">
        <v>0</v>
      </c>
      <c r="AI155" s="27"/>
      <c r="AS155" s="25" t="e">
        <f t="shared" si="74"/>
        <v>#DIV/0!</v>
      </c>
      <c r="AT155" s="25"/>
      <c r="AU155" s="25"/>
      <c r="AW155" s="6"/>
      <c r="AY155" s="25"/>
      <c r="AZ155" s="6"/>
    </row>
    <row r="156" spans="1:52">
      <c r="A156" s="17" t="str">
        <f t="shared" si="71"/>
        <v>\cite{Cherif2016}</v>
      </c>
      <c r="B156" s="13" t="s">
        <v>176</v>
      </c>
      <c r="C156" s="13">
        <v>2016</v>
      </c>
      <c r="E156" s="13">
        <f t="shared" si="72"/>
        <v>2016</v>
      </c>
      <c r="F156" s="12">
        <f>LOOKUP(E156,Total_wind_installed_capacity!$A$3:$A$34,Total_wind_installed_capacity!$H$3:$H$34)</f>
        <v>480.73440000000005</v>
      </c>
      <c r="G156" s="18" t="s">
        <v>27</v>
      </c>
      <c r="H156" s="13" t="s">
        <v>86</v>
      </c>
      <c r="I156" s="26"/>
      <c r="J156" s="19">
        <v>0.6</v>
      </c>
      <c r="K156" s="13">
        <v>1</v>
      </c>
      <c r="L156" s="20">
        <f t="shared" si="81"/>
        <v>0.6</v>
      </c>
      <c r="M156" s="21" t="s">
        <v>188</v>
      </c>
      <c r="N156" s="13" t="s">
        <v>24</v>
      </c>
      <c r="R156" s="22">
        <v>6523.2</v>
      </c>
      <c r="T156" s="23">
        <f t="shared" si="83"/>
        <v>1812</v>
      </c>
      <c r="V156" s="6">
        <f t="shared" si="86"/>
        <v>10.872</v>
      </c>
      <c r="W156" s="25"/>
      <c r="X156" s="6">
        <f t="shared" si="84"/>
        <v>3.02</v>
      </c>
      <c r="Y156" s="6"/>
      <c r="AA156" s="24">
        <f t="shared" si="85"/>
        <v>543.6</v>
      </c>
      <c r="AC156" s="25"/>
      <c r="AE156" s="32"/>
      <c r="AG156" s="25">
        <v>0</v>
      </c>
      <c r="AI156" s="27"/>
      <c r="AS156" s="25" t="e">
        <f t="shared" si="74"/>
        <v>#DIV/0!</v>
      </c>
      <c r="AT156" s="25"/>
      <c r="AU156" s="25"/>
      <c r="AW156" s="6"/>
      <c r="AY156" s="25"/>
      <c r="AZ156" s="6"/>
    </row>
    <row r="157" spans="1:52">
      <c r="A157" s="17" t="str">
        <f t="shared" si="71"/>
        <v>\cite{Cherif2016}</v>
      </c>
      <c r="B157" s="13" t="s">
        <v>176</v>
      </c>
      <c r="C157" s="13">
        <v>2016</v>
      </c>
      <c r="E157" s="13">
        <f t="shared" si="72"/>
        <v>2016</v>
      </c>
      <c r="F157" s="12">
        <f>LOOKUP(E157,Total_wind_installed_capacity!$A$3:$A$34,Total_wind_installed_capacity!$H$3:$H$34)</f>
        <v>480.73440000000005</v>
      </c>
      <c r="G157" s="18" t="s">
        <v>27</v>
      </c>
      <c r="H157" s="13" t="s">
        <v>86</v>
      </c>
      <c r="I157" s="26"/>
      <c r="J157" s="19">
        <v>1</v>
      </c>
      <c r="K157" s="13">
        <v>1</v>
      </c>
      <c r="L157" s="20">
        <f t="shared" si="81"/>
        <v>1</v>
      </c>
      <c r="M157" s="21" t="s">
        <v>189</v>
      </c>
      <c r="N157" s="13" t="s">
        <v>24</v>
      </c>
      <c r="R157" s="22">
        <v>8631.9</v>
      </c>
      <c r="T157" s="23">
        <f t="shared" si="83"/>
        <v>2397.75</v>
      </c>
      <c r="V157" s="6">
        <f t="shared" si="86"/>
        <v>8.6318999999999999</v>
      </c>
      <c r="W157" s="25"/>
      <c r="X157" s="6">
        <f t="shared" si="84"/>
        <v>2.3977499999999998</v>
      </c>
      <c r="Y157" s="6"/>
      <c r="AA157" s="24">
        <f t="shared" si="85"/>
        <v>719.32499999999993</v>
      </c>
      <c r="AC157" s="25"/>
      <c r="AE157" s="32"/>
      <c r="AG157" s="25">
        <v>0</v>
      </c>
      <c r="AI157" s="27"/>
      <c r="AS157" s="25" t="e">
        <f t="shared" si="74"/>
        <v>#DIV/0!</v>
      </c>
      <c r="AT157" s="25"/>
      <c r="AU157" s="25"/>
      <c r="AW157" s="6"/>
      <c r="AY157" s="25"/>
      <c r="AZ157" s="6"/>
    </row>
    <row r="158" spans="1:52">
      <c r="A158" s="17" t="str">
        <f t="shared" si="71"/>
        <v>\cite{Cherif2016}</v>
      </c>
      <c r="B158" s="13" t="s">
        <v>176</v>
      </c>
      <c r="C158" s="13">
        <v>2016</v>
      </c>
      <c r="E158" s="13">
        <f t="shared" si="72"/>
        <v>2016</v>
      </c>
      <c r="F158" s="12">
        <f>LOOKUP(E158,Total_wind_installed_capacity!$A$3:$A$34,Total_wind_installed_capacity!$H$3:$H$34)</f>
        <v>480.73440000000005</v>
      </c>
      <c r="G158" s="18" t="s">
        <v>27</v>
      </c>
      <c r="H158" s="13" t="s">
        <v>86</v>
      </c>
      <c r="I158" s="26"/>
      <c r="J158" s="19">
        <v>1.5</v>
      </c>
      <c r="K158" s="13">
        <v>1</v>
      </c>
      <c r="L158" s="20">
        <f t="shared" si="81"/>
        <v>1.5</v>
      </c>
      <c r="M158" s="21" t="s">
        <v>190</v>
      </c>
      <c r="N158" s="13" t="s">
        <v>24</v>
      </c>
      <c r="R158" s="22">
        <v>11280</v>
      </c>
      <c r="T158" s="23">
        <f t="shared" si="83"/>
        <v>3133.333333333333</v>
      </c>
      <c r="V158" s="6">
        <f t="shared" si="86"/>
        <v>7.52</v>
      </c>
      <c r="W158" s="25"/>
      <c r="X158" s="6">
        <f t="shared" si="84"/>
        <v>2.0888888888888886</v>
      </c>
      <c r="Y158" s="6"/>
      <c r="AA158" s="24">
        <f t="shared" si="85"/>
        <v>939.99999999999989</v>
      </c>
      <c r="AC158" s="25"/>
      <c r="AE158" s="32"/>
      <c r="AG158" s="25">
        <v>0</v>
      </c>
      <c r="AI158" s="27"/>
      <c r="AS158" s="25" t="e">
        <f t="shared" si="74"/>
        <v>#DIV/0!</v>
      </c>
      <c r="AT158" s="25"/>
      <c r="AU158" s="25"/>
      <c r="AW158" s="6"/>
      <c r="AY158" s="25"/>
      <c r="AZ158" s="6"/>
    </row>
    <row r="159" spans="1:52">
      <c r="A159" s="17" t="str">
        <f t="shared" si="71"/>
        <v>\cite{Cherif2016}</v>
      </c>
      <c r="B159" s="13" t="s">
        <v>176</v>
      </c>
      <c r="C159" s="13">
        <v>2016</v>
      </c>
      <c r="E159" s="13">
        <f t="shared" si="72"/>
        <v>2016</v>
      </c>
      <c r="F159" s="12">
        <f>LOOKUP(E159,Total_wind_installed_capacity!$A$3:$A$34,Total_wind_installed_capacity!$H$3:$H$34)</f>
        <v>480.73440000000005</v>
      </c>
      <c r="G159" s="18" t="s">
        <v>27</v>
      </c>
      <c r="H159" s="13" t="s">
        <v>86</v>
      </c>
      <c r="I159" s="26"/>
      <c r="J159" s="19">
        <v>3</v>
      </c>
      <c r="K159" s="13">
        <v>1</v>
      </c>
      <c r="L159" s="20">
        <f t="shared" si="81"/>
        <v>3</v>
      </c>
      <c r="M159" s="21" t="s">
        <v>191</v>
      </c>
      <c r="N159" s="13" t="s">
        <v>24</v>
      </c>
      <c r="R159" s="22">
        <v>21086</v>
      </c>
      <c r="T159" s="23">
        <f t="shared" si="83"/>
        <v>5857.2222222222217</v>
      </c>
      <c r="V159" s="6">
        <f t="shared" si="86"/>
        <v>7.0286666666666671</v>
      </c>
      <c r="W159" s="25"/>
      <c r="X159" s="6">
        <f t="shared" si="84"/>
        <v>1.9524074074074074</v>
      </c>
      <c r="Y159" s="6"/>
      <c r="AA159" s="24">
        <f t="shared" si="85"/>
        <v>1757.1666666666665</v>
      </c>
      <c r="AC159" s="25"/>
      <c r="AE159" s="32"/>
      <c r="AG159" s="25">
        <v>0</v>
      </c>
      <c r="AI159" s="27"/>
      <c r="AS159" s="25" t="e">
        <f t="shared" si="74"/>
        <v>#DIV/0!</v>
      </c>
      <c r="AT159" s="25"/>
      <c r="AU159" s="25"/>
      <c r="AW159" s="6"/>
      <c r="AY159" s="25"/>
      <c r="AZ159" s="6"/>
    </row>
    <row r="160" spans="1:52">
      <c r="A160" s="17" t="str">
        <f t="shared" si="71"/>
        <v>\cite{Cherif2016}</v>
      </c>
      <c r="B160" s="13" t="s">
        <v>176</v>
      </c>
      <c r="C160" s="13">
        <v>2016</v>
      </c>
      <c r="E160" s="13">
        <f t="shared" si="72"/>
        <v>2016</v>
      </c>
      <c r="F160" s="12">
        <f>LOOKUP(E160,Total_wind_installed_capacity!$A$3:$A$34,Total_wind_installed_capacity!$H$3:$H$34)</f>
        <v>480.73440000000005</v>
      </c>
      <c r="G160" s="18" t="s">
        <v>27</v>
      </c>
      <c r="H160" s="13" t="s">
        <v>86</v>
      </c>
      <c r="I160" s="26"/>
      <c r="J160" s="19">
        <v>0.9</v>
      </c>
      <c r="K160" s="13">
        <v>1</v>
      </c>
      <c r="L160" s="20">
        <f t="shared" si="81"/>
        <v>0.9</v>
      </c>
      <c r="M160" s="21" t="s">
        <v>192</v>
      </c>
      <c r="N160" s="13" t="s">
        <v>24</v>
      </c>
      <c r="R160" s="22">
        <v>9419.1</v>
      </c>
      <c r="T160" s="23">
        <f t="shared" si="83"/>
        <v>2616.4166666666665</v>
      </c>
      <c r="V160" s="6">
        <f t="shared" si="86"/>
        <v>10.465666666666666</v>
      </c>
      <c r="W160" s="25"/>
      <c r="X160" s="6">
        <f t="shared" si="84"/>
        <v>2.9071296296296292</v>
      </c>
      <c r="Y160" s="6"/>
      <c r="AA160" s="24">
        <f t="shared" si="85"/>
        <v>784.92499999999995</v>
      </c>
      <c r="AC160" s="25"/>
      <c r="AE160" s="32"/>
      <c r="AG160" s="25">
        <v>0</v>
      </c>
      <c r="AI160" s="27"/>
      <c r="AS160" s="25" t="e">
        <f t="shared" si="74"/>
        <v>#DIV/0!</v>
      </c>
      <c r="AT160" s="25"/>
      <c r="AU160" s="25"/>
      <c r="AW160" s="6"/>
      <c r="AY160" s="25"/>
      <c r="AZ160" s="6"/>
    </row>
    <row r="161" spans="1:52">
      <c r="A161" s="17" t="str">
        <f t="shared" si="71"/>
        <v>\cite{Cherif2016}</v>
      </c>
      <c r="B161" s="13" t="s">
        <v>176</v>
      </c>
      <c r="C161" s="13">
        <v>2016</v>
      </c>
      <c r="E161" s="13">
        <f t="shared" si="72"/>
        <v>2016</v>
      </c>
      <c r="F161" s="12">
        <f>LOOKUP(E161,Total_wind_installed_capacity!$A$3:$A$34,Total_wind_installed_capacity!$H$3:$H$34)</f>
        <v>480.73440000000005</v>
      </c>
      <c r="G161" s="18" t="s">
        <v>27</v>
      </c>
      <c r="H161" s="13" t="s">
        <v>86</v>
      </c>
      <c r="I161" s="26"/>
      <c r="J161" s="19">
        <v>1</v>
      </c>
      <c r="K161" s="13">
        <v>1</v>
      </c>
      <c r="L161" s="20">
        <f t="shared" si="81"/>
        <v>1</v>
      </c>
      <c r="M161" s="21" t="s">
        <v>193</v>
      </c>
      <c r="N161" s="13" t="s">
        <v>24</v>
      </c>
      <c r="R161" s="22">
        <v>11135</v>
      </c>
      <c r="T161" s="23">
        <f t="shared" si="83"/>
        <v>3093.0555555555557</v>
      </c>
      <c r="V161" s="6">
        <f t="shared" si="86"/>
        <v>11.135</v>
      </c>
      <c r="W161" s="25"/>
      <c r="X161" s="6">
        <f t="shared" si="84"/>
        <v>3.0930555555555554</v>
      </c>
      <c r="Y161" s="6"/>
      <c r="AA161" s="24">
        <f t="shared" si="85"/>
        <v>927.91666666666674</v>
      </c>
      <c r="AC161" s="25"/>
      <c r="AE161" s="32"/>
      <c r="AG161" s="25">
        <v>0</v>
      </c>
      <c r="AI161" s="27"/>
      <c r="AS161" s="25" t="e">
        <f t="shared" si="74"/>
        <v>#DIV/0!</v>
      </c>
      <c r="AT161" s="25"/>
      <c r="AU161" s="25"/>
      <c r="AW161" s="6"/>
      <c r="AY161" s="25"/>
      <c r="AZ161" s="6"/>
    </row>
    <row r="162" spans="1:52">
      <c r="A162" s="17" t="str">
        <f t="shared" si="71"/>
        <v>\cite{Cherif2016}</v>
      </c>
      <c r="B162" s="13" t="s">
        <v>176</v>
      </c>
      <c r="C162" s="13">
        <v>2016</v>
      </c>
      <c r="E162" s="13">
        <f t="shared" si="72"/>
        <v>2016</v>
      </c>
      <c r="F162" s="12">
        <f>LOOKUP(E162,Total_wind_installed_capacity!$A$3:$A$34,Total_wind_installed_capacity!$H$3:$H$34)</f>
        <v>480.73440000000005</v>
      </c>
      <c r="G162" s="18" t="s">
        <v>27</v>
      </c>
      <c r="H162" s="13" t="s">
        <v>86</v>
      </c>
      <c r="I162" s="26"/>
      <c r="J162" s="19">
        <v>3</v>
      </c>
      <c r="K162" s="13">
        <v>1</v>
      </c>
      <c r="L162" s="20">
        <f t="shared" si="81"/>
        <v>3</v>
      </c>
      <c r="M162" s="21" t="s">
        <v>194</v>
      </c>
      <c r="N162" s="13" t="s">
        <v>24</v>
      </c>
      <c r="R162" s="22">
        <v>25541</v>
      </c>
      <c r="T162" s="23">
        <f t="shared" si="83"/>
        <v>7094.7222222222217</v>
      </c>
      <c r="V162" s="6">
        <f t="shared" si="86"/>
        <v>8.5136666666666656</v>
      </c>
      <c r="W162" s="25"/>
      <c r="X162" s="6">
        <f t="shared" si="84"/>
        <v>2.364907407407407</v>
      </c>
      <c r="Y162" s="6"/>
      <c r="AA162" s="24">
        <f t="shared" si="85"/>
        <v>2128.4166666666665</v>
      </c>
      <c r="AC162" s="25"/>
      <c r="AE162" s="32"/>
      <c r="AG162" s="25">
        <v>0</v>
      </c>
      <c r="AI162" s="27"/>
      <c r="AS162" s="25" t="e">
        <f t="shared" si="74"/>
        <v>#DIV/0!</v>
      </c>
      <c r="AT162" s="25"/>
      <c r="AU162" s="25"/>
      <c r="AW162" s="6"/>
      <c r="AY162" s="25"/>
      <c r="AZ162" s="6"/>
    </row>
    <row r="163" spans="1:52">
      <c r="A163" s="17" t="str">
        <f t="shared" si="71"/>
        <v>\cite{Cherif2016}</v>
      </c>
      <c r="B163" s="13" t="s">
        <v>176</v>
      </c>
      <c r="C163" s="13">
        <v>2016</v>
      </c>
      <c r="E163" s="13">
        <f t="shared" si="72"/>
        <v>2016</v>
      </c>
      <c r="F163" s="12">
        <f>LOOKUP(E163,Total_wind_installed_capacity!$A$3:$A$34,Total_wind_installed_capacity!$H$3:$H$34)</f>
        <v>480.73440000000005</v>
      </c>
      <c r="G163" s="18" t="s">
        <v>27</v>
      </c>
      <c r="H163" s="13" t="s">
        <v>86</v>
      </c>
      <c r="I163" s="26"/>
      <c r="J163" s="19">
        <v>2.5</v>
      </c>
      <c r="K163" s="13">
        <v>1</v>
      </c>
      <c r="L163" s="20">
        <f t="shared" si="81"/>
        <v>2.5</v>
      </c>
      <c r="M163" s="21" t="s">
        <v>195</v>
      </c>
      <c r="N163" s="13" t="s">
        <v>24</v>
      </c>
      <c r="R163" s="22">
        <v>38830</v>
      </c>
      <c r="T163" s="23">
        <f t="shared" si="83"/>
        <v>10786.111111111111</v>
      </c>
      <c r="V163" s="6">
        <f t="shared" si="86"/>
        <v>15.532</v>
      </c>
      <c r="W163" s="25"/>
      <c r="X163" s="6">
        <f t="shared" si="84"/>
        <v>4.3144444444444447</v>
      </c>
      <c r="Y163" s="6"/>
      <c r="AA163" s="24">
        <f t="shared" si="85"/>
        <v>3235.8333333333335</v>
      </c>
      <c r="AC163" s="25"/>
      <c r="AE163" s="32"/>
      <c r="AG163" s="25">
        <v>0</v>
      </c>
      <c r="AI163" s="27"/>
      <c r="AS163" s="25" t="e">
        <f t="shared" si="74"/>
        <v>#DIV/0!</v>
      </c>
      <c r="AT163" s="25"/>
      <c r="AU163" s="25"/>
      <c r="AW163" s="6"/>
      <c r="AY163" s="25"/>
      <c r="AZ163" s="6"/>
    </row>
    <row r="164" spans="1:52">
      <c r="A164" s="17" t="str">
        <f t="shared" si="71"/>
        <v>\cite{Cherif2016}</v>
      </c>
      <c r="B164" s="13" t="s">
        <v>176</v>
      </c>
      <c r="C164" s="13">
        <v>2016</v>
      </c>
      <c r="E164" s="13">
        <f t="shared" si="72"/>
        <v>2016</v>
      </c>
      <c r="F164" s="12">
        <f>LOOKUP(E164,Total_wind_installed_capacity!$A$3:$A$34,Total_wind_installed_capacity!$H$3:$H$34)</f>
        <v>480.73440000000005</v>
      </c>
      <c r="G164" s="18" t="s">
        <v>27</v>
      </c>
      <c r="H164" s="13" t="s">
        <v>86</v>
      </c>
      <c r="I164" s="26"/>
      <c r="J164" s="19">
        <v>5.2</v>
      </c>
      <c r="K164" s="13">
        <v>1</v>
      </c>
      <c r="L164" s="20">
        <f t="shared" si="81"/>
        <v>5.2</v>
      </c>
      <c r="M164" s="21" t="s">
        <v>90</v>
      </c>
      <c r="N164" s="13" t="s">
        <v>24</v>
      </c>
      <c r="R164" s="22">
        <v>77582</v>
      </c>
      <c r="T164" s="23">
        <f t="shared" si="83"/>
        <v>21550.555555555555</v>
      </c>
      <c r="V164" s="6">
        <f t="shared" si="86"/>
        <v>14.919615384615385</v>
      </c>
      <c r="W164" s="25"/>
      <c r="X164" s="6">
        <f t="shared" si="84"/>
        <v>4.144337606837607</v>
      </c>
      <c r="Y164" s="6"/>
      <c r="AA164" s="24">
        <f t="shared" si="85"/>
        <v>6465.166666666667</v>
      </c>
      <c r="AC164" s="25"/>
      <c r="AE164" s="32"/>
      <c r="AG164" s="25">
        <v>0</v>
      </c>
      <c r="AI164" s="27"/>
      <c r="AS164" s="25" t="e">
        <f t="shared" si="74"/>
        <v>#DIV/0!</v>
      </c>
      <c r="AT164" s="25"/>
      <c r="AU164" s="25"/>
      <c r="AW164" s="6"/>
      <c r="AY164" s="25"/>
      <c r="AZ164" s="6"/>
    </row>
    <row r="165" spans="1:52">
      <c r="A165" s="17" t="str">
        <f t="shared" si="71"/>
        <v>\cite{Cherif2016}</v>
      </c>
      <c r="B165" s="13" t="s">
        <v>176</v>
      </c>
      <c r="C165" s="13">
        <v>2016</v>
      </c>
      <c r="E165" s="13">
        <f t="shared" si="72"/>
        <v>2016</v>
      </c>
      <c r="F165" s="12">
        <f>LOOKUP(E165,Total_wind_installed_capacity!$A$3:$A$34,Total_wind_installed_capacity!$H$3:$H$34)</f>
        <v>480.73440000000005</v>
      </c>
      <c r="G165" s="18" t="s">
        <v>27</v>
      </c>
      <c r="H165" s="13" t="s">
        <v>86</v>
      </c>
      <c r="I165" s="26"/>
      <c r="J165" s="19">
        <v>15</v>
      </c>
      <c r="K165" s="13">
        <v>1</v>
      </c>
      <c r="L165" s="20">
        <f t="shared" si="81"/>
        <v>15</v>
      </c>
      <c r="M165" s="21" t="s">
        <v>196</v>
      </c>
      <c r="N165" s="13" t="s">
        <v>24</v>
      </c>
      <c r="R165" s="22">
        <v>172760</v>
      </c>
      <c r="T165" s="23">
        <f t="shared" si="83"/>
        <v>47988.888888888891</v>
      </c>
      <c r="V165" s="6">
        <f t="shared" si="86"/>
        <v>11.517333333333333</v>
      </c>
      <c r="W165" s="25"/>
      <c r="X165" s="6">
        <f t="shared" si="84"/>
        <v>3.199259259259259</v>
      </c>
      <c r="Y165" s="6"/>
      <c r="AA165" s="24">
        <f t="shared" si="85"/>
        <v>14396.666666666668</v>
      </c>
      <c r="AC165" s="25"/>
      <c r="AE165" s="32"/>
      <c r="AG165" s="25">
        <v>0</v>
      </c>
      <c r="AI165" s="27"/>
      <c r="AS165" s="25" t="e">
        <f t="shared" si="74"/>
        <v>#DIV/0!</v>
      </c>
      <c r="AT165" s="25"/>
      <c r="AU165" s="25"/>
      <c r="AW165" s="6"/>
      <c r="AY165" s="25"/>
      <c r="AZ165" s="6"/>
    </row>
    <row r="166" spans="1:52">
      <c r="A166" s="17" t="str">
        <f t="shared" si="71"/>
        <v>\cite{Cherif2016}</v>
      </c>
      <c r="B166" s="13" t="s">
        <v>176</v>
      </c>
      <c r="C166" s="13">
        <v>2016</v>
      </c>
      <c r="E166" s="13">
        <f t="shared" si="72"/>
        <v>2016</v>
      </c>
      <c r="F166" s="12">
        <f>LOOKUP(E166,Total_wind_installed_capacity!$A$3:$A$34,Total_wind_installed_capacity!$H$3:$H$34)</f>
        <v>480.73440000000005</v>
      </c>
      <c r="G166" s="18" t="s">
        <v>27</v>
      </c>
      <c r="H166" s="13" t="s">
        <v>86</v>
      </c>
      <c r="I166" s="26"/>
      <c r="J166" s="19">
        <v>0.6</v>
      </c>
      <c r="K166" s="13">
        <v>1</v>
      </c>
      <c r="L166" s="20">
        <f t="shared" si="81"/>
        <v>0.6</v>
      </c>
      <c r="M166" s="21" t="s">
        <v>197</v>
      </c>
      <c r="N166" s="13" t="s">
        <v>24</v>
      </c>
      <c r="R166" s="22">
        <v>6779</v>
      </c>
      <c r="T166" s="23">
        <f t="shared" si="83"/>
        <v>1883.0555555555554</v>
      </c>
      <c r="V166" s="6">
        <f t="shared" si="86"/>
        <v>11.298333333333334</v>
      </c>
      <c r="W166" s="25"/>
      <c r="X166" s="6">
        <f t="shared" si="84"/>
        <v>3.138425925925926</v>
      </c>
      <c r="Y166" s="6"/>
      <c r="AA166" s="24">
        <f t="shared" si="85"/>
        <v>564.91666666666663</v>
      </c>
      <c r="AC166" s="25"/>
      <c r="AE166" s="32"/>
      <c r="AG166" s="25">
        <v>0</v>
      </c>
      <c r="AI166" s="27"/>
      <c r="AS166" s="25" t="e">
        <f t="shared" si="74"/>
        <v>#DIV/0!</v>
      </c>
      <c r="AT166" s="25"/>
      <c r="AU166" s="25"/>
      <c r="AW166" s="6"/>
      <c r="AY166" s="25"/>
      <c r="AZ166" s="6"/>
    </row>
    <row r="167" spans="1:52">
      <c r="A167" s="17" t="str">
        <f t="shared" si="71"/>
        <v>\cite{Cherif2016}</v>
      </c>
      <c r="B167" s="13" t="s">
        <v>176</v>
      </c>
      <c r="C167" s="13">
        <v>2016</v>
      </c>
      <c r="E167" s="13">
        <f t="shared" si="72"/>
        <v>2016</v>
      </c>
      <c r="F167" s="12">
        <f>LOOKUP(E167,Total_wind_installed_capacity!$A$3:$A$34,Total_wind_installed_capacity!$H$3:$H$34)</f>
        <v>480.73440000000005</v>
      </c>
      <c r="G167" s="18" t="s">
        <v>27</v>
      </c>
      <c r="H167" s="13" t="s">
        <v>86</v>
      </c>
      <c r="I167" s="26"/>
      <c r="J167" s="19">
        <v>0.8</v>
      </c>
      <c r="K167" s="13">
        <v>1</v>
      </c>
      <c r="L167" s="20">
        <f t="shared" si="81"/>
        <v>0.8</v>
      </c>
      <c r="M167" s="21" t="s">
        <v>198</v>
      </c>
      <c r="N167" s="13" t="s">
        <v>24</v>
      </c>
      <c r="R167" s="22">
        <v>9213.7000000000007</v>
      </c>
      <c r="T167" s="23">
        <f t="shared" si="83"/>
        <v>2559.3611111111113</v>
      </c>
      <c r="V167" s="6">
        <f t="shared" si="86"/>
        <v>11.517125</v>
      </c>
      <c r="W167" s="25"/>
      <c r="X167" s="6">
        <f t="shared" si="84"/>
        <v>3.1992013888888886</v>
      </c>
      <c r="Y167" s="6"/>
      <c r="AA167" s="24">
        <f t="shared" si="85"/>
        <v>767.80833333333339</v>
      </c>
      <c r="AC167" s="25"/>
      <c r="AE167" s="32"/>
      <c r="AG167" s="25">
        <v>0</v>
      </c>
      <c r="AI167" s="27"/>
      <c r="AS167" s="25" t="e">
        <f t="shared" si="74"/>
        <v>#DIV/0!</v>
      </c>
      <c r="AT167" s="25"/>
      <c r="AU167" s="25"/>
      <c r="AW167" s="6"/>
      <c r="AY167" s="25"/>
      <c r="AZ167" s="6"/>
    </row>
    <row r="168" spans="1:52">
      <c r="A168" s="17" t="str">
        <f t="shared" si="71"/>
        <v>\cite{Cherif2016}</v>
      </c>
      <c r="B168" s="13" t="s">
        <v>176</v>
      </c>
      <c r="C168" s="13">
        <v>2016</v>
      </c>
      <c r="E168" s="13">
        <f t="shared" si="72"/>
        <v>2016</v>
      </c>
      <c r="F168" s="12">
        <f>LOOKUP(E168,Total_wind_installed_capacity!$A$3:$A$34,Total_wind_installed_capacity!$H$3:$H$34)</f>
        <v>480.73440000000005</v>
      </c>
      <c r="G168" s="18" t="s">
        <v>27</v>
      </c>
      <c r="H168" s="13" t="s">
        <v>86</v>
      </c>
      <c r="I168" s="26"/>
      <c r="J168" s="19">
        <v>1</v>
      </c>
      <c r="K168" s="13">
        <v>1</v>
      </c>
      <c r="L168" s="20">
        <f t="shared" si="81"/>
        <v>1</v>
      </c>
      <c r="M168" s="21" t="s">
        <v>199</v>
      </c>
      <c r="N168" s="13" t="s">
        <v>24</v>
      </c>
      <c r="R168" s="22">
        <v>12738</v>
      </c>
      <c r="T168" s="23">
        <f t="shared" si="83"/>
        <v>3538.333333333333</v>
      </c>
      <c r="V168" s="6">
        <f t="shared" si="86"/>
        <v>12.738</v>
      </c>
      <c r="W168" s="25"/>
      <c r="X168" s="6">
        <f t="shared" si="84"/>
        <v>3.5383333333333331</v>
      </c>
      <c r="Y168" s="6"/>
      <c r="AA168" s="24">
        <f t="shared" si="85"/>
        <v>1061.5</v>
      </c>
      <c r="AC168" s="25"/>
      <c r="AE168" s="32"/>
      <c r="AG168" s="25">
        <v>0</v>
      </c>
      <c r="AI168" s="27"/>
      <c r="AS168" s="25" t="e">
        <f t="shared" si="74"/>
        <v>#DIV/0!</v>
      </c>
      <c r="AT168" s="25"/>
      <c r="AU168" s="25"/>
      <c r="AW168" s="6"/>
      <c r="AY168" s="25"/>
      <c r="AZ168" s="6"/>
    </row>
    <row r="169" spans="1:52">
      <c r="A169" s="17" t="str">
        <f t="shared" si="71"/>
        <v>\cite{Cherif2016}</v>
      </c>
      <c r="B169" s="13" t="s">
        <v>176</v>
      </c>
      <c r="C169" s="13">
        <v>2016</v>
      </c>
      <c r="E169" s="13">
        <f t="shared" si="72"/>
        <v>2016</v>
      </c>
      <c r="F169" s="12">
        <f>LOOKUP(E169,Total_wind_installed_capacity!$A$3:$A$34,Total_wind_installed_capacity!$H$3:$H$34)</f>
        <v>480.73440000000005</v>
      </c>
      <c r="G169" s="18" t="s">
        <v>27</v>
      </c>
      <c r="H169" s="13" t="s">
        <v>86</v>
      </c>
      <c r="I169" s="26"/>
      <c r="J169" s="19">
        <v>3</v>
      </c>
      <c r="K169" s="13">
        <v>1</v>
      </c>
      <c r="L169" s="20">
        <f t="shared" si="81"/>
        <v>3</v>
      </c>
      <c r="M169" s="21" t="s">
        <v>200</v>
      </c>
      <c r="N169" s="13" t="s">
        <v>24</v>
      </c>
      <c r="R169" s="22">
        <v>31793</v>
      </c>
      <c r="T169" s="23">
        <f t="shared" si="83"/>
        <v>8831.3888888888887</v>
      </c>
      <c r="V169" s="6">
        <f t="shared" si="86"/>
        <v>10.597666666666665</v>
      </c>
      <c r="W169" s="25"/>
      <c r="X169" s="6">
        <f t="shared" si="84"/>
        <v>2.9437962962962958</v>
      </c>
      <c r="Y169" s="6"/>
      <c r="AA169" s="24">
        <f t="shared" si="85"/>
        <v>2649.4166666666665</v>
      </c>
      <c r="AC169" s="25"/>
      <c r="AE169" s="32"/>
      <c r="AG169" s="25">
        <v>0</v>
      </c>
      <c r="AI169" s="27"/>
      <c r="AS169" s="25" t="e">
        <f t="shared" si="74"/>
        <v>#DIV/0!</v>
      </c>
      <c r="AT169" s="25"/>
      <c r="AU169" s="25"/>
      <c r="AW169" s="6"/>
      <c r="AX169" s="29"/>
      <c r="AY169" s="25"/>
      <c r="AZ169" s="6"/>
    </row>
    <row r="170" spans="1:52">
      <c r="A170" s="17" t="str">
        <f t="shared" si="71"/>
        <v>\cite{Cherif2016}</v>
      </c>
      <c r="B170" s="13" t="s">
        <v>176</v>
      </c>
      <c r="C170" s="13">
        <v>2016</v>
      </c>
      <c r="E170" s="13">
        <f t="shared" si="72"/>
        <v>2016</v>
      </c>
      <c r="F170" s="12">
        <f>LOOKUP(E170,Total_wind_installed_capacity!$A$3:$A$34,Total_wind_installed_capacity!$H$3:$H$34)</f>
        <v>480.73440000000005</v>
      </c>
      <c r="G170" s="18" t="s">
        <v>27</v>
      </c>
      <c r="H170" s="13" t="s">
        <v>86</v>
      </c>
      <c r="I170" s="26"/>
      <c r="J170" s="19">
        <v>0.3</v>
      </c>
      <c r="K170" s="13">
        <v>1</v>
      </c>
      <c r="L170" s="20">
        <f t="shared" si="81"/>
        <v>0.3</v>
      </c>
      <c r="M170" s="21" t="s">
        <v>201</v>
      </c>
      <c r="N170" s="13" t="s">
        <v>24</v>
      </c>
      <c r="R170" s="22">
        <v>3640.2</v>
      </c>
      <c r="T170" s="23">
        <f t="shared" si="83"/>
        <v>1011.1666666666666</v>
      </c>
      <c r="V170" s="6">
        <f t="shared" si="86"/>
        <v>12.134</v>
      </c>
      <c r="W170" s="25"/>
      <c r="X170" s="6">
        <f t="shared" si="84"/>
        <v>3.3705555555555557</v>
      </c>
      <c r="Y170" s="6"/>
      <c r="AA170" s="24">
        <f t="shared" si="85"/>
        <v>303.34999999999997</v>
      </c>
      <c r="AC170" s="25"/>
      <c r="AE170" s="32"/>
      <c r="AG170" s="25">
        <v>0</v>
      </c>
      <c r="AI170" s="27"/>
      <c r="AS170" s="25" t="e">
        <f t="shared" si="74"/>
        <v>#DIV/0!</v>
      </c>
      <c r="AT170" s="25"/>
      <c r="AU170" s="25"/>
      <c r="AW170" s="6"/>
      <c r="AX170" s="29"/>
      <c r="AY170" s="25"/>
      <c r="AZ170" s="6"/>
    </row>
    <row r="171" spans="1:52">
      <c r="A171" s="17" t="str">
        <f t="shared" si="71"/>
        <v>\cite{Cherif2016}</v>
      </c>
      <c r="B171" s="13" t="s">
        <v>176</v>
      </c>
      <c r="C171" s="13">
        <v>2016</v>
      </c>
      <c r="E171" s="13">
        <f t="shared" si="72"/>
        <v>2016</v>
      </c>
      <c r="F171" s="12">
        <f>LOOKUP(E171,Total_wind_installed_capacity!$A$3:$A$34,Total_wind_installed_capacity!$H$3:$H$34)</f>
        <v>480.73440000000005</v>
      </c>
      <c r="G171" s="18" t="s">
        <v>27</v>
      </c>
      <c r="H171" s="13" t="s">
        <v>86</v>
      </c>
      <c r="I171" s="26"/>
      <c r="J171" s="19">
        <v>0.6</v>
      </c>
      <c r="K171" s="13">
        <v>1</v>
      </c>
      <c r="L171" s="20">
        <f t="shared" si="81"/>
        <v>0.6</v>
      </c>
      <c r="M171" s="21" t="s">
        <v>202</v>
      </c>
      <c r="N171" s="13" t="s">
        <v>24</v>
      </c>
      <c r="R171" s="22">
        <v>5454.8</v>
      </c>
      <c r="T171" s="23">
        <f t="shared" si="83"/>
        <v>1515.2222222222222</v>
      </c>
      <c r="V171" s="6">
        <f t="shared" si="86"/>
        <v>9.0913333333333348</v>
      </c>
      <c r="W171" s="25"/>
      <c r="X171" s="6">
        <f t="shared" si="84"/>
        <v>2.5253703703703709</v>
      </c>
      <c r="Y171" s="6"/>
      <c r="AA171" s="24">
        <f t="shared" si="85"/>
        <v>454.56666666666661</v>
      </c>
      <c r="AC171" s="25"/>
      <c r="AE171" s="32"/>
      <c r="AG171" s="25">
        <v>0</v>
      </c>
      <c r="AI171" s="27"/>
      <c r="AS171" s="25" t="e">
        <f t="shared" si="74"/>
        <v>#DIV/0!</v>
      </c>
      <c r="AT171" s="25"/>
      <c r="AU171" s="25"/>
      <c r="AW171" s="6"/>
      <c r="AX171" s="29"/>
      <c r="AY171" s="25"/>
      <c r="AZ171" s="6"/>
    </row>
    <row r="172" spans="1:52">
      <c r="A172" s="17" t="str">
        <f t="shared" si="71"/>
        <v>\cite{Cherif2016}</v>
      </c>
      <c r="B172" s="13" t="s">
        <v>176</v>
      </c>
      <c r="C172" s="13">
        <v>2016</v>
      </c>
      <c r="E172" s="13">
        <f t="shared" si="72"/>
        <v>2016</v>
      </c>
      <c r="F172" s="12">
        <f>LOOKUP(E172,Total_wind_installed_capacity!$A$3:$A$34,Total_wind_installed_capacity!$H$3:$H$34)</f>
        <v>480.73440000000005</v>
      </c>
      <c r="G172" s="18" t="s">
        <v>27</v>
      </c>
      <c r="H172" s="13" t="s">
        <v>86</v>
      </c>
      <c r="I172" s="26"/>
      <c r="J172" s="19">
        <v>2</v>
      </c>
      <c r="K172" s="13">
        <v>1</v>
      </c>
      <c r="L172" s="20">
        <f t="shared" si="81"/>
        <v>2</v>
      </c>
      <c r="M172" s="21" t="s">
        <v>203</v>
      </c>
      <c r="N172" s="13" t="s">
        <v>24</v>
      </c>
      <c r="R172" s="22">
        <v>14375</v>
      </c>
      <c r="T172" s="23">
        <f t="shared" si="83"/>
        <v>3993.0555555555557</v>
      </c>
      <c r="V172" s="6">
        <f t="shared" si="86"/>
        <v>7.1875</v>
      </c>
      <c r="W172" s="25"/>
      <c r="X172" s="6">
        <f t="shared" si="84"/>
        <v>1.9965277777777777</v>
      </c>
      <c r="Y172" s="6"/>
      <c r="AA172" s="24">
        <f t="shared" si="85"/>
        <v>1197.9166666666667</v>
      </c>
      <c r="AC172" s="25"/>
      <c r="AE172" s="32"/>
      <c r="AG172" s="25">
        <v>0</v>
      </c>
      <c r="AI172" s="27"/>
      <c r="AS172" s="25" t="e">
        <f t="shared" si="74"/>
        <v>#DIV/0!</v>
      </c>
      <c r="AT172" s="25"/>
      <c r="AU172" s="25"/>
      <c r="AW172" s="6"/>
      <c r="AX172" s="29"/>
      <c r="AY172" s="25"/>
      <c r="AZ172" s="6"/>
    </row>
    <row r="173" spans="1:52">
      <c r="A173" s="17" t="str">
        <f t="shared" si="71"/>
        <v>\cite{Sacchi2019}</v>
      </c>
      <c r="B173" s="13" t="s">
        <v>204</v>
      </c>
      <c r="C173" s="13">
        <v>2019</v>
      </c>
      <c r="E173" s="13">
        <f t="shared" si="72"/>
        <v>2019</v>
      </c>
      <c r="F173" s="12">
        <f>LOOKUP(E173,Total_wind_installed_capacity!$A$3:$A$34,Total_wind_installed_capacity!$H$3:$H$34)</f>
        <v>643.43574999999998</v>
      </c>
      <c r="G173" s="18" t="s">
        <v>27</v>
      </c>
      <c r="H173" s="13" t="s">
        <v>86</v>
      </c>
      <c r="I173" s="18" t="s">
        <v>205</v>
      </c>
      <c r="J173" s="19">
        <v>100</v>
      </c>
      <c r="K173" s="13">
        <v>1</v>
      </c>
      <c r="L173" s="20">
        <f t="shared" si="81"/>
        <v>100</v>
      </c>
      <c r="M173" s="21" t="s">
        <v>206</v>
      </c>
      <c r="N173" s="13" t="s">
        <v>24</v>
      </c>
      <c r="V173" s="25"/>
      <c r="W173" s="25"/>
      <c r="AC173" s="25">
        <f t="shared" ref="AC173:AC204" si="87">IF(AND(AA173&gt;0,AM173&gt;0),AA173/AM173, IF(AU173&gt;0, IF(Z173&gt;0, AU173*Z173/100,AU173*30/100),0))</f>
        <v>0</v>
      </c>
      <c r="AE173" s="32">
        <f>132000</f>
        <v>132000</v>
      </c>
      <c r="AF173" s="20">
        <f>9640</f>
        <v>9640</v>
      </c>
      <c r="AG173" s="25">
        <v>1.18</v>
      </c>
      <c r="AH173" s="13">
        <v>0.23</v>
      </c>
      <c r="AI173" s="27">
        <f t="shared" ref="AI173:AI181" si="88">AJ173/L173/8760</f>
        <v>0.15251511286118355</v>
      </c>
      <c r="AJ173" s="20">
        <f>AM173/AL173</f>
        <v>133603.23886639677</v>
      </c>
      <c r="AL173" s="13">
        <v>20</v>
      </c>
      <c r="AM173" s="20">
        <f>AE173*1000/AX173</f>
        <v>2672064.7773279352</v>
      </c>
      <c r="AN173" s="20">
        <f t="shared" ref="AN173:AN181" si="89">AM173/L173*1000</f>
        <v>26720647.773279354</v>
      </c>
      <c r="AS173" s="25">
        <f t="shared" si="74"/>
        <v>0</v>
      </c>
      <c r="AT173" s="25"/>
      <c r="AU173" s="25">
        <f t="shared" ref="AU173:AU188" si="90">T173/AM173</f>
        <v>0</v>
      </c>
      <c r="AW173" s="6"/>
      <c r="AX173" s="29">
        <f>49.4</f>
        <v>49.4</v>
      </c>
      <c r="AY173" s="25">
        <v>39.4</v>
      </c>
      <c r="AZ173" s="6"/>
    </row>
    <row r="174" spans="1:52">
      <c r="A174" s="17" t="str">
        <f t="shared" si="71"/>
        <v>\cite{Sacchi2019}</v>
      </c>
      <c r="B174" s="13" t="s">
        <v>204</v>
      </c>
      <c r="C174" s="13">
        <v>2019</v>
      </c>
      <c r="E174" s="13">
        <f t="shared" si="72"/>
        <v>2019</v>
      </c>
      <c r="F174" s="12">
        <f>LOOKUP(E174,Total_wind_installed_capacity!$A$3:$A$34,Total_wind_installed_capacity!$H$3:$H$34)</f>
        <v>643.43574999999998</v>
      </c>
      <c r="G174" s="18" t="s">
        <v>27</v>
      </c>
      <c r="H174" s="13" t="s">
        <v>86</v>
      </c>
      <c r="I174" s="18" t="s">
        <v>205</v>
      </c>
      <c r="J174" s="19">
        <v>500</v>
      </c>
      <c r="K174" s="13">
        <v>1</v>
      </c>
      <c r="L174" s="20">
        <f t="shared" si="81"/>
        <v>500</v>
      </c>
      <c r="M174" s="21" t="s">
        <v>207</v>
      </c>
      <c r="N174" s="13" t="s">
        <v>24</v>
      </c>
      <c r="V174" s="25"/>
      <c r="W174" s="25"/>
      <c r="AC174" s="25">
        <f t="shared" si="87"/>
        <v>0</v>
      </c>
      <c r="AE174" s="32">
        <f>379000</f>
        <v>379000</v>
      </c>
      <c r="AF174" s="20">
        <f>31000</f>
        <v>31000</v>
      </c>
      <c r="AG174" s="25">
        <v>0.75</v>
      </c>
      <c r="AH174" s="13">
        <v>0.04</v>
      </c>
      <c r="AI174" s="27">
        <f t="shared" si="88"/>
        <v>0.22187097529563282</v>
      </c>
      <c r="AJ174" s="20">
        <f t="shared" ref="AJ174:AJ177" si="91">AM174/AL174</f>
        <v>971794.87179487175</v>
      </c>
      <c r="AL174" s="13">
        <v>20</v>
      </c>
      <c r="AM174" s="20">
        <f>AE174*1000/AX174</f>
        <v>19435897.435897436</v>
      </c>
      <c r="AN174" s="20">
        <f t="shared" si="89"/>
        <v>38871794.871794872</v>
      </c>
      <c r="AS174" s="25">
        <f t="shared" si="74"/>
        <v>0</v>
      </c>
      <c r="AT174" s="25"/>
      <c r="AU174" s="25">
        <f t="shared" si="90"/>
        <v>0</v>
      </c>
      <c r="AW174" s="6"/>
      <c r="AX174" s="29">
        <v>19.5</v>
      </c>
      <c r="AY174" s="25">
        <v>5.0199999999999996</v>
      </c>
      <c r="AZ174" s="6"/>
    </row>
    <row r="175" spans="1:52">
      <c r="A175" s="17" t="str">
        <f t="shared" si="71"/>
        <v>\cite{Sacchi2019}</v>
      </c>
      <c r="B175" s="13" t="s">
        <v>204</v>
      </c>
      <c r="C175" s="13">
        <v>2019</v>
      </c>
      <c r="E175" s="13">
        <f t="shared" si="72"/>
        <v>2019</v>
      </c>
      <c r="F175" s="12">
        <f>LOOKUP(E175,Total_wind_installed_capacity!$A$3:$A$34,Total_wind_installed_capacity!$H$3:$H$34)</f>
        <v>643.43574999999998</v>
      </c>
      <c r="G175" s="18" t="s">
        <v>27</v>
      </c>
      <c r="H175" s="13" t="s">
        <v>86</v>
      </c>
      <c r="I175" s="18" t="s">
        <v>205</v>
      </c>
      <c r="J175" s="19">
        <v>1000</v>
      </c>
      <c r="K175" s="13">
        <v>1</v>
      </c>
      <c r="L175" s="20">
        <f t="shared" si="81"/>
        <v>1000</v>
      </c>
      <c r="M175" s="21" t="s">
        <v>208</v>
      </c>
      <c r="N175" s="13" t="s">
        <v>24</v>
      </c>
      <c r="V175" s="25"/>
      <c r="W175" s="25"/>
      <c r="AC175" s="25">
        <f t="shared" si="87"/>
        <v>0</v>
      </c>
      <c r="AE175" s="32">
        <f>765000</f>
        <v>765000</v>
      </c>
      <c r="AF175" s="20">
        <f>82200</f>
        <v>82200</v>
      </c>
      <c r="AG175" s="25">
        <v>0.75</v>
      </c>
      <c r="AH175" s="13">
        <v>0.02</v>
      </c>
      <c r="AI175" s="27">
        <f t="shared" si="88"/>
        <v>0.19757639620653319</v>
      </c>
      <c r="AJ175" s="20">
        <f t="shared" si="91"/>
        <v>1730769.2307692308</v>
      </c>
      <c r="AL175" s="13">
        <v>20</v>
      </c>
      <c r="AM175" s="20">
        <f>AE175*1000/AX175</f>
        <v>34615384.615384616</v>
      </c>
      <c r="AN175" s="20">
        <f t="shared" si="89"/>
        <v>34615384.615384616</v>
      </c>
      <c r="AS175" s="25">
        <f t="shared" si="74"/>
        <v>0</v>
      </c>
      <c r="AT175" s="25"/>
      <c r="AU175" s="25">
        <f t="shared" si="90"/>
        <v>0</v>
      </c>
      <c r="AW175" s="6"/>
      <c r="AX175" s="29">
        <v>22.1</v>
      </c>
      <c r="AY175" s="25">
        <v>5.83</v>
      </c>
      <c r="AZ175" s="6"/>
    </row>
    <row r="176" spans="1:52">
      <c r="A176" s="17" t="str">
        <f t="shared" si="71"/>
        <v>\cite{Sacchi2019}</v>
      </c>
      <c r="B176" s="13" t="s">
        <v>204</v>
      </c>
      <c r="C176" s="13">
        <v>2019</v>
      </c>
      <c r="E176" s="13">
        <f t="shared" si="72"/>
        <v>2019</v>
      </c>
      <c r="F176" s="12">
        <f>LOOKUP(E176,Total_wind_installed_capacity!$A$3:$A$34,Total_wind_installed_capacity!$H$3:$H$34)</f>
        <v>643.43574999999998</v>
      </c>
      <c r="G176" s="18" t="s">
        <v>27</v>
      </c>
      <c r="H176" s="13" t="s">
        <v>86</v>
      </c>
      <c r="I176" s="18" t="s">
        <v>205</v>
      </c>
      <c r="J176" s="19">
        <v>2000</v>
      </c>
      <c r="K176" s="13">
        <v>1</v>
      </c>
      <c r="L176" s="20">
        <f t="shared" si="81"/>
        <v>2000</v>
      </c>
      <c r="M176" s="21" t="s">
        <v>209</v>
      </c>
      <c r="N176" s="13" t="s">
        <v>24</v>
      </c>
      <c r="V176" s="25"/>
      <c r="W176" s="25"/>
      <c r="AC176" s="25">
        <f t="shared" si="87"/>
        <v>0</v>
      </c>
      <c r="AE176" s="32">
        <f>1560000</f>
        <v>1560000</v>
      </c>
      <c r="AF176" s="20">
        <f>222000</f>
        <v>222000</v>
      </c>
      <c r="AG176" s="25">
        <v>0.81</v>
      </c>
      <c r="AH176" s="13">
        <v>0.11</v>
      </c>
      <c r="AI176" s="27">
        <f t="shared" si="88"/>
        <v>0.25011543789441282</v>
      </c>
      <c r="AJ176" s="20">
        <f t="shared" si="91"/>
        <v>4382022.4719101125</v>
      </c>
      <c r="AL176" s="13">
        <v>20</v>
      </c>
      <c r="AM176" s="20">
        <f>AE176*1000/AX176</f>
        <v>87640449.438202247</v>
      </c>
      <c r="AN176" s="20">
        <f t="shared" si="89"/>
        <v>43820224.719101124</v>
      </c>
      <c r="AS176" s="25">
        <f t="shared" si="74"/>
        <v>0</v>
      </c>
      <c r="AT176" s="25"/>
      <c r="AU176" s="25">
        <f t="shared" si="90"/>
        <v>0</v>
      </c>
      <c r="AW176" s="6"/>
      <c r="AX176" s="29">
        <v>17.8</v>
      </c>
      <c r="AY176" s="25">
        <v>4.79</v>
      </c>
      <c r="AZ176" s="6"/>
    </row>
    <row r="177" spans="1:53">
      <c r="A177" s="17" t="str">
        <f t="shared" si="71"/>
        <v>\cite{Sacchi2019}</v>
      </c>
      <c r="B177" s="13" t="s">
        <v>204</v>
      </c>
      <c r="C177" s="13">
        <v>2019</v>
      </c>
      <c r="E177" s="13">
        <f t="shared" si="72"/>
        <v>2019</v>
      </c>
      <c r="F177" s="12">
        <f>LOOKUP(E177,Total_wind_installed_capacity!$A$3:$A$34,Total_wind_installed_capacity!$H$3:$H$34)</f>
        <v>643.43574999999998</v>
      </c>
      <c r="G177" s="18" t="s">
        <v>27</v>
      </c>
      <c r="H177" s="13" t="s">
        <v>86</v>
      </c>
      <c r="I177" s="18" t="s">
        <v>205</v>
      </c>
      <c r="J177" s="19">
        <v>2000</v>
      </c>
      <c r="K177" s="13">
        <v>1</v>
      </c>
      <c r="L177" s="20">
        <f t="shared" si="81"/>
        <v>2000</v>
      </c>
      <c r="M177" s="21" t="s">
        <v>210</v>
      </c>
      <c r="N177" s="13" t="s">
        <v>31</v>
      </c>
      <c r="V177" s="25"/>
      <c r="W177" s="25"/>
      <c r="AC177" s="25">
        <f t="shared" si="87"/>
        <v>0</v>
      </c>
      <c r="AE177" s="32">
        <f>1650000</f>
        <v>1650000</v>
      </c>
      <c r="AF177" s="20">
        <f>42000</f>
        <v>42000</v>
      </c>
      <c r="AG177" s="25">
        <v>0.83</v>
      </c>
      <c r="AH177" s="13">
        <v>0.02</v>
      </c>
      <c r="AI177" s="27">
        <f t="shared" si="88"/>
        <v>0.3707798511487434</v>
      </c>
      <c r="AJ177" s="20">
        <f t="shared" si="91"/>
        <v>6496062.9921259843</v>
      </c>
      <c r="AL177" s="13">
        <v>20</v>
      </c>
      <c r="AM177" s="20">
        <f>AE177*1000/AX177</f>
        <v>129921259.84251969</v>
      </c>
      <c r="AN177" s="20">
        <f t="shared" si="89"/>
        <v>64960629.921259843</v>
      </c>
      <c r="AS177" s="25">
        <f t="shared" si="74"/>
        <v>0</v>
      </c>
      <c r="AT177" s="25"/>
      <c r="AU177" s="25">
        <f t="shared" si="90"/>
        <v>0</v>
      </c>
      <c r="AW177" s="6"/>
      <c r="AX177" s="29">
        <v>12.7</v>
      </c>
      <c r="AY177" s="25">
        <v>3.41</v>
      </c>
      <c r="AZ177" s="6"/>
    </row>
    <row r="178" spans="1:53">
      <c r="A178" s="17" t="str">
        <f t="shared" si="71"/>
        <v>\cite{Lundie2019}</v>
      </c>
      <c r="B178" s="13" t="s">
        <v>211</v>
      </c>
      <c r="C178" s="13">
        <v>2019</v>
      </c>
      <c r="E178" s="13">
        <f t="shared" si="72"/>
        <v>2019</v>
      </c>
      <c r="F178" s="12">
        <f>LOOKUP(E178,Total_wind_installed_capacity!$A$3:$A$34,Total_wind_installed_capacity!$H$3:$H$34)</f>
        <v>643.43574999999998</v>
      </c>
      <c r="G178" s="18" t="s">
        <v>109</v>
      </c>
      <c r="I178" s="18" t="s">
        <v>30</v>
      </c>
      <c r="J178" s="19">
        <v>2250</v>
      </c>
      <c r="K178" s="13">
        <v>10</v>
      </c>
      <c r="L178" s="20">
        <f t="shared" si="81"/>
        <v>22500</v>
      </c>
      <c r="R178" s="22">
        <f>19655*1000*K178</f>
        <v>196550000</v>
      </c>
      <c r="T178" s="23">
        <f t="shared" ref="T178:T181" si="92">R178/3.6</f>
        <v>54597222.222222224</v>
      </c>
      <c r="V178" s="6">
        <f>R178/$L178/1000</f>
        <v>8.7355555555555551</v>
      </c>
      <c r="W178" s="25"/>
      <c r="X178" s="6">
        <f>V178/3.6</f>
        <v>2.4265432098765429</v>
      </c>
      <c r="Y178" s="6"/>
      <c r="AA178" s="24">
        <f t="shared" ref="AA178:AA181" si="93">R178/3.6/100*IF($Z178&gt;0,$Z178,30)</f>
        <v>16379166.666666668</v>
      </c>
      <c r="AC178" s="25">
        <f t="shared" si="87"/>
        <v>1.2223258706467663E-2</v>
      </c>
      <c r="AE178" s="32">
        <f>1888*1000*K178</f>
        <v>18880000</v>
      </c>
      <c r="AF178" s="20"/>
      <c r="AG178" s="25">
        <v>0.83</v>
      </c>
      <c r="AI178" s="27">
        <f t="shared" si="88"/>
        <v>0.33992897006595635</v>
      </c>
      <c r="AJ178" s="20">
        <f>6700000*K178</f>
        <v>67000000</v>
      </c>
      <c r="AL178" s="13">
        <v>20</v>
      </c>
      <c r="AM178" s="20">
        <f>AJ178*AL178</f>
        <v>1340000000</v>
      </c>
      <c r="AN178" s="20">
        <f t="shared" si="89"/>
        <v>59555555.555555552</v>
      </c>
      <c r="AS178" s="25">
        <f t="shared" si="74"/>
        <v>0.14667910447761193</v>
      </c>
      <c r="AT178" s="25"/>
      <c r="AU178" s="25">
        <f t="shared" si="90"/>
        <v>4.0744195688225543E-2</v>
      </c>
      <c r="AW178" s="6"/>
      <c r="AX178" s="29">
        <f>AE178/AM178*1000</f>
        <v>14.08955223880597</v>
      </c>
      <c r="AY178" s="25"/>
      <c r="AZ178" s="6"/>
    </row>
    <row r="179" spans="1:53">
      <c r="A179" s="17" t="str">
        <f t="shared" si="71"/>
        <v>\cite{Lundie2019}</v>
      </c>
      <c r="B179" s="13" t="s">
        <v>211</v>
      </c>
      <c r="C179" s="13">
        <v>2019</v>
      </c>
      <c r="E179" s="13">
        <f t="shared" si="72"/>
        <v>2019</v>
      </c>
      <c r="F179" s="12">
        <f>LOOKUP(E179,Total_wind_installed_capacity!$A$3:$A$34,Total_wind_installed_capacity!$H$3:$H$34)</f>
        <v>643.43574999999998</v>
      </c>
      <c r="G179" s="18" t="s">
        <v>109</v>
      </c>
      <c r="I179" s="18" t="s">
        <v>81</v>
      </c>
      <c r="J179" s="19">
        <v>2250</v>
      </c>
      <c r="K179" s="13">
        <v>11</v>
      </c>
      <c r="L179" s="20">
        <f t="shared" si="81"/>
        <v>24750</v>
      </c>
      <c r="R179" s="22">
        <f>23266*1000*K179</f>
        <v>255926000</v>
      </c>
      <c r="T179" s="23">
        <f t="shared" si="92"/>
        <v>71090555.555555552</v>
      </c>
      <c r="V179" s="6">
        <f t="shared" ref="V179:V181" si="94">R179/$L179/1000</f>
        <v>10.340444444444445</v>
      </c>
      <c r="W179" s="25"/>
      <c r="X179" s="6">
        <f t="shared" ref="X179:X181" si="95">V179/3.6</f>
        <v>2.8723456790123461</v>
      </c>
      <c r="Y179" s="6"/>
      <c r="AA179" s="24">
        <f t="shared" si="93"/>
        <v>21327166.666666664</v>
      </c>
      <c r="AC179" s="25">
        <f t="shared" si="87"/>
        <v>1.0098090277777777E-2</v>
      </c>
      <c r="AE179" s="32">
        <f>2242*1000*K179</f>
        <v>24662000</v>
      </c>
      <c r="AG179" s="25">
        <v>0.83</v>
      </c>
      <c r="AI179" s="27">
        <f t="shared" si="88"/>
        <v>0.48706240487062408</v>
      </c>
      <c r="AJ179" s="20">
        <f>9600000*K179</f>
        <v>105600000</v>
      </c>
      <c r="AL179" s="13">
        <v>20</v>
      </c>
      <c r="AM179" s="20">
        <f t="shared" ref="AM179:AM181" si="96">AJ179*AL179</f>
        <v>2112000000</v>
      </c>
      <c r="AN179" s="20">
        <f t="shared" si="89"/>
        <v>85333333.333333328</v>
      </c>
      <c r="AS179" s="25">
        <f t="shared" si="74"/>
        <v>0.12117708333333334</v>
      </c>
      <c r="AT179" s="25"/>
      <c r="AU179" s="25">
        <f t="shared" si="90"/>
        <v>3.3660300925925923E-2</v>
      </c>
      <c r="AW179" s="6"/>
      <c r="AX179" s="29">
        <f>AE179/AM179*1000</f>
        <v>11.677083333333332</v>
      </c>
      <c r="AY179" s="25"/>
      <c r="AZ179" s="6"/>
    </row>
    <row r="180" spans="1:53">
      <c r="A180" s="17" t="str">
        <f t="shared" si="71"/>
        <v>\cite{Lundie2019}</v>
      </c>
      <c r="B180" s="13" t="s">
        <v>211</v>
      </c>
      <c r="C180" s="13">
        <v>2019</v>
      </c>
      <c r="E180" s="13">
        <f t="shared" si="72"/>
        <v>2019</v>
      </c>
      <c r="F180" s="12">
        <f>LOOKUP(E180,Total_wind_installed_capacity!$A$3:$A$34,Total_wind_installed_capacity!$H$3:$H$34)</f>
        <v>643.43574999999998</v>
      </c>
      <c r="G180" s="18" t="s">
        <v>109</v>
      </c>
      <c r="I180" s="18" t="s">
        <v>212</v>
      </c>
      <c r="J180" s="19">
        <v>2250</v>
      </c>
      <c r="K180" s="13">
        <v>1</v>
      </c>
      <c r="L180" s="20">
        <f t="shared" si="81"/>
        <v>2250</v>
      </c>
      <c r="R180" s="22">
        <f>33492*1000*K180</f>
        <v>33492000</v>
      </c>
      <c r="T180" s="23">
        <f t="shared" si="92"/>
        <v>9303333.333333334</v>
      </c>
      <c r="V180" s="6">
        <f t="shared" si="94"/>
        <v>14.885333333333334</v>
      </c>
      <c r="W180" s="25"/>
      <c r="X180" s="6">
        <f t="shared" si="95"/>
        <v>4.1348148148148152</v>
      </c>
      <c r="Y180" s="6"/>
      <c r="AA180" s="24">
        <f t="shared" si="93"/>
        <v>2791000.0000000005</v>
      </c>
      <c r="AC180" s="25">
        <f t="shared" si="87"/>
        <v>1.5335164835164838E-2</v>
      </c>
      <c r="AE180" s="32">
        <f>3262*1000*K180</f>
        <v>3262000</v>
      </c>
      <c r="AG180" s="25">
        <v>0.83</v>
      </c>
      <c r="AI180" s="27">
        <f t="shared" si="88"/>
        <v>0.46169457128361235</v>
      </c>
      <c r="AJ180" s="20">
        <f>9100000*K180</f>
        <v>9100000</v>
      </c>
      <c r="AL180" s="13">
        <v>20</v>
      </c>
      <c r="AM180" s="20">
        <f t="shared" si="96"/>
        <v>182000000</v>
      </c>
      <c r="AN180" s="20">
        <f t="shared" si="89"/>
        <v>80888888.888888896</v>
      </c>
      <c r="AS180" s="25">
        <f t="shared" si="74"/>
        <v>0.18402197802197803</v>
      </c>
      <c r="AT180" s="25"/>
      <c r="AU180" s="25">
        <f t="shared" si="90"/>
        <v>5.1117216117216119E-2</v>
      </c>
      <c r="AW180" s="6"/>
      <c r="AX180" s="29">
        <f>AE180/AM180*1000</f>
        <v>17.923076923076923</v>
      </c>
      <c r="AY180" s="25"/>
      <c r="AZ180" s="6"/>
    </row>
    <row r="181" spans="1:53">
      <c r="A181" s="17" t="str">
        <f t="shared" si="71"/>
        <v>\cite{Lundie2019}</v>
      </c>
      <c r="B181" s="13" t="s">
        <v>211</v>
      </c>
      <c r="C181" s="13">
        <v>2019</v>
      </c>
      <c r="E181" s="13">
        <f t="shared" si="72"/>
        <v>2019</v>
      </c>
      <c r="F181" s="12">
        <f>LOOKUP(E181,Total_wind_installed_capacity!$A$3:$A$34,Total_wind_installed_capacity!$H$3:$H$34)</f>
        <v>643.43574999999998</v>
      </c>
      <c r="G181" s="18" t="s">
        <v>109</v>
      </c>
      <c r="I181" s="18" t="s">
        <v>212</v>
      </c>
      <c r="J181" s="19">
        <v>3250</v>
      </c>
      <c r="K181" s="13">
        <v>1</v>
      </c>
      <c r="L181" s="20">
        <f t="shared" si="81"/>
        <v>3250</v>
      </c>
      <c r="R181" s="22">
        <f>38111*1000*K181</f>
        <v>38111000</v>
      </c>
      <c r="T181" s="23">
        <f t="shared" si="92"/>
        <v>10586388.888888888</v>
      </c>
      <c r="V181" s="6">
        <f t="shared" si="94"/>
        <v>11.726461538461539</v>
      </c>
      <c r="W181" s="25"/>
      <c r="X181" s="6">
        <f t="shared" si="95"/>
        <v>3.2573504273504272</v>
      </c>
      <c r="Y181" s="6"/>
      <c r="AA181" s="24">
        <f t="shared" si="93"/>
        <v>3175916.666666666</v>
      </c>
      <c r="AC181" s="25">
        <f t="shared" si="87"/>
        <v>1.5568218954248363E-2</v>
      </c>
      <c r="AE181" s="32">
        <f>3724*1000*K181</f>
        <v>3724000</v>
      </c>
      <c r="AG181" s="25">
        <v>0.83</v>
      </c>
      <c r="AI181" s="27">
        <f t="shared" si="88"/>
        <v>0.3582718651211802</v>
      </c>
      <c r="AJ181" s="20">
        <f>10200000*K181</f>
        <v>10200000</v>
      </c>
      <c r="AL181" s="13">
        <v>20</v>
      </c>
      <c r="AM181" s="20">
        <f t="shared" si="96"/>
        <v>204000000</v>
      </c>
      <c r="AN181" s="20">
        <f t="shared" si="89"/>
        <v>62769230.769230768</v>
      </c>
      <c r="AS181" s="25">
        <f t="shared" si="74"/>
        <v>0.18681862745098038</v>
      </c>
      <c r="AT181" s="25"/>
      <c r="AU181" s="25">
        <f t="shared" si="90"/>
        <v>5.1894063180827885E-2</v>
      </c>
      <c r="AW181" s="6"/>
      <c r="AX181" s="29">
        <f>AE181/AM181*1000</f>
        <v>18.254901960784313</v>
      </c>
      <c r="AY181" s="25"/>
      <c r="AZ181" s="6"/>
    </row>
    <row r="182" spans="1:53">
      <c r="A182" s="17" t="str">
        <f t="shared" si="71"/>
        <v>\cite{Nock2019}</v>
      </c>
      <c r="B182" s="13" t="s">
        <v>213</v>
      </c>
      <c r="C182" s="13">
        <v>2019</v>
      </c>
      <c r="E182" s="13">
        <f t="shared" si="72"/>
        <v>2019</v>
      </c>
      <c r="F182" s="12">
        <f>LOOKUP(E182,Total_wind_installed_capacity!$A$3:$A$34,Total_wind_installed_capacity!$H$3:$H$34)</f>
        <v>643.43574999999998</v>
      </c>
      <c r="I182" s="18" t="s">
        <v>214</v>
      </c>
      <c r="J182" s="19"/>
      <c r="K182" s="19"/>
      <c r="L182" s="19"/>
      <c r="N182" s="13" t="s">
        <v>24</v>
      </c>
      <c r="V182" s="25"/>
      <c r="W182" s="25"/>
      <c r="AC182" s="25" t="e">
        <f t="shared" si="87"/>
        <v>#DIV/0!</v>
      </c>
      <c r="AE182" s="32"/>
      <c r="AG182" s="25">
        <v>3.9E-2</v>
      </c>
      <c r="AI182" s="27"/>
      <c r="AS182" s="25" t="e">
        <f t="shared" si="74"/>
        <v>#DIV/0!</v>
      </c>
      <c r="AT182" s="25"/>
      <c r="AU182" s="25" t="e">
        <f t="shared" si="90"/>
        <v>#DIV/0!</v>
      </c>
      <c r="AW182" s="6"/>
      <c r="AX182" s="29"/>
      <c r="AY182" s="25"/>
      <c r="AZ182" s="6"/>
    </row>
    <row r="183" spans="1:53">
      <c r="A183" s="17" t="str">
        <f t="shared" si="71"/>
        <v>\cite{Nock2019}</v>
      </c>
      <c r="B183" s="13" t="s">
        <v>213</v>
      </c>
      <c r="C183" s="13">
        <v>2019</v>
      </c>
      <c r="E183" s="13">
        <f t="shared" si="72"/>
        <v>2019</v>
      </c>
      <c r="F183" s="12">
        <f>LOOKUP(E183,Total_wind_installed_capacity!$A$3:$A$34,Total_wind_installed_capacity!$H$3:$H$34)</f>
        <v>643.43574999999998</v>
      </c>
      <c r="I183" s="18" t="s">
        <v>214</v>
      </c>
      <c r="J183" s="19"/>
      <c r="K183" s="19"/>
      <c r="L183" s="19"/>
      <c r="N183" s="13" t="s">
        <v>31</v>
      </c>
      <c r="V183" s="25"/>
      <c r="W183" s="25"/>
      <c r="AC183" s="25" t="e">
        <f t="shared" si="87"/>
        <v>#DIV/0!</v>
      </c>
      <c r="AE183" s="32"/>
      <c r="AG183" s="25">
        <v>4.1000000000000002E-2</v>
      </c>
      <c r="AI183" s="27"/>
      <c r="AS183" s="25" t="e">
        <f t="shared" si="74"/>
        <v>#DIV/0!</v>
      </c>
      <c r="AT183" s="25"/>
      <c r="AU183" s="25" t="e">
        <f t="shared" si="90"/>
        <v>#DIV/0!</v>
      </c>
      <c r="AW183" s="6"/>
      <c r="AX183" s="29"/>
      <c r="AY183" s="25"/>
      <c r="AZ183" s="6"/>
    </row>
    <row r="184" spans="1:53">
      <c r="A184" s="17" t="str">
        <f t="shared" si="71"/>
        <v>\cite{Velez-Henao2021}</v>
      </c>
      <c r="B184" s="13" t="s">
        <v>215</v>
      </c>
      <c r="C184" s="13">
        <v>2021</v>
      </c>
      <c r="D184" s="13">
        <v>2004</v>
      </c>
      <c r="E184" s="13">
        <f t="shared" si="72"/>
        <v>2004</v>
      </c>
      <c r="F184" s="12">
        <f>LOOKUP(E184,Total_wind_installed_capacity!$A$3:$A$34,Total_wind_installed_capacity!$H$3:$H$34)</f>
        <v>46.3964675</v>
      </c>
      <c r="G184" s="18" t="s">
        <v>74</v>
      </c>
      <c r="H184" s="13" t="s">
        <v>33</v>
      </c>
      <c r="I184" s="18" t="s">
        <v>216</v>
      </c>
      <c r="J184" s="19">
        <f>L184/K184</f>
        <v>1300</v>
      </c>
      <c r="K184" s="19">
        <v>15</v>
      </c>
      <c r="L184" s="19">
        <v>19500</v>
      </c>
      <c r="M184" s="21" t="s">
        <v>217</v>
      </c>
      <c r="N184" s="13" t="s">
        <v>24</v>
      </c>
      <c r="O184" s="13">
        <v>60</v>
      </c>
      <c r="P184" s="13">
        <v>60</v>
      </c>
      <c r="V184" s="25"/>
      <c r="W184" s="25"/>
      <c r="AC184" s="25">
        <f t="shared" si="87"/>
        <v>0</v>
      </c>
      <c r="AE184" s="32">
        <f>AX184*AM184/1000</f>
        <v>18510055.199999999</v>
      </c>
      <c r="AG184" s="25">
        <f>AE184/L184/1000</f>
        <v>0.9492335999999999</v>
      </c>
      <c r="AI184" s="27">
        <v>0.42</v>
      </c>
      <c r="AJ184" s="20">
        <f>AI184*8760*L184</f>
        <v>71744400</v>
      </c>
      <c r="AL184" s="13">
        <v>20</v>
      </c>
      <c r="AM184" s="20">
        <f t="shared" ref="AM184:AM187" si="97">AJ184*AL184</f>
        <v>1434888000</v>
      </c>
      <c r="AN184" s="20">
        <f>AM184/L184*1000</f>
        <v>73584000</v>
      </c>
      <c r="AS184" s="25">
        <f t="shared" si="74"/>
        <v>0</v>
      </c>
      <c r="AT184" s="25"/>
      <c r="AU184" s="25">
        <f t="shared" si="90"/>
        <v>0</v>
      </c>
      <c r="AW184" s="6"/>
      <c r="AX184" s="29">
        <v>12.9</v>
      </c>
      <c r="AY184" s="25"/>
      <c r="AZ184" s="6"/>
    </row>
    <row r="185" spans="1:53">
      <c r="A185" s="17" t="str">
        <f t="shared" si="71"/>
        <v>\cite{Kumar2015}</v>
      </c>
      <c r="B185" s="13" t="s">
        <v>218</v>
      </c>
      <c r="C185" s="13">
        <v>2015</v>
      </c>
      <c r="E185" s="13">
        <f t="shared" si="72"/>
        <v>2015</v>
      </c>
      <c r="F185" s="12">
        <f>LOOKUP(E185,Total_wind_installed_capacity!$A$3:$A$34,Total_wind_installed_capacity!$H$3:$H$34)</f>
        <v>427.65899999999999</v>
      </c>
      <c r="G185" s="18" t="s">
        <v>109</v>
      </c>
      <c r="H185" s="13" t="s">
        <v>33</v>
      </c>
      <c r="I185" s="18" t="s">
        <v>214</v>
      </c>
      <c r="J185" s="19">
        <v>1500</v>
      </c>
      <c r="K185" s="19">
        <v>1</v>
      </c>
      <c r="L185" s="19">
        <f t="shared" ref="L185:L209" si="98">J185*K185</f>
        <v>1500</v>
      </c>
      <c r="M185" s="21" t="s">
        <v>219</v>
      </c>
      <c r="N185" s="13" t="s">
        <v>24</v>
      </c>
      <c r="V185" s="25"/>
      <c r="W185" s="25"/>
      <c r="AC185" s="25">
        <f t="shared" si="87"/>
        <v>0</v>
      </c>
      <c r="AE185" s="32">
        <v>1912300</v>
      </c>
      <c r="AG185" s="25">
        <f>AE185/L185/1000</f>
        <v>1.2748666666666666</v>
      </c>
      <c r="AI185" s="27">
        <f>AJ185/L185/8760</f>
        <v>0.20405730593607305</v>
      </c>
      <c r="AJ185" s="20">
        <v>2681313</v>
      </c>
      <c r="AL185" s="13">
        <v>25</v>
      </c>
      <c r="AM185" s="20">
        <f t="shared" si="97"/>
        <v>67032825</v>
      </c>
      <c r="AN185" s="20">
        <f>AM185/L185*1000</f>
        <v>44688550</v>
      </c>
      <c r="AS185" s="25">
        <f t="shared" si="74"/>
        <v>0</v>
      </c>
      <c r="AT185" s="25"/>
      <c r="AU185" s="25">
        <f t="shared" si="90"/>
        <v>0</v>
      </c>
      <c r="AW185" s="6"/>
      <c r="AX185" s="29">
        <f>AE185*1000/AM185</f>
        <v>28.527814544590655</v>
      </c>
      <c r="AY185" s="25"/>
      <c r="AZ185" s="6"/>
      <c r="BA185" s="18" t="s">
        <v>220</v>
      </c>
    </row>
    <row r="186" spans="1:53">
      <c r="A186" s="17" t="str">
        <f t="shared" si="71"/>
        <v>\cite{Kumar2015}</v>
      </c>
      <c r="B186" s="13" t="s">
        <v>218</v>
      </c>
      <c r="C186" s="13">
        <v>2015</v>
      </c>
      <c r="E186" s="13">
        <f t="shared" si="72"/>
        <v>2015</v>
      </c>
      <c r="F186" s="12">
        <f>LOOKUP(E186,Total_wind_installed_capacity!$A$3:$A$34,Total_wind_installed_capacity!$H$3:$H$34)</f>
        <v>427.65899999999999</v>
      </c>
      <c r="I186" s="18" t="s">
        <v>214</v>
      </c>
      <c r="J186" s="19">
        <v>1500</v>
      </c>
      <c r="K186" s="19">
        <v>1</v>
      </c>
      <c r="L186" s="19">
        <f t="shared" si="98"/>
        <v>1500</v>
      </c>
      <c r="V186" s="25"/>
      <c r="W186" s="25"/>
      <c r="AC186" s="25">
        <f t="shared" si="87"/>
        <v>0</v>
      </c>
      <c r="AE186" s="32">
        <v>1912300</v>
      </c>
      <c r="AG186" s="25">
        <f>AE186/L186/1000</f>
        <v>1.2748666666666666</v>
      </c>
      <c r="AI186" s="27">
        <f>AJ186/L186/8760</f>
        <v>0.3111761796042618</v>
      </c>
      <c r="AJ186" s="20">
        <v>4088855</v>
      </c>
      <c r="AL186" s="13">
        <v>25</v>
      </c>
      <c r="AM186" s="20">
        <f t="shared" si="97"/>
        <v>102221375</v>
      </c>
      <c r="AN186" s="20">
        <f>AM186/L186*1000</f>
        <v>68147583.333333328</v>
      </c>
      <c r="AS186" s="25">
        <f t="shared" si="74"/>
        <v>0</v>
      </c>
      <c r="AT186" s="25"/>
      <c r="AU186" s="25">
        <f t="shared" si="90"/>
        <v>0</v>
      </c>
      <c r="AW186" s="6"/>
      <c r="AX186" s="29">
        <f>AE186*1000/AM186</f>
        <v>18.707437656752319</v>
      </c>
      <c r="AY186" s="25"/>
      <c r="AZ186" s="6"/>
      <c r="BA186" s="18" t="s">
        <v>221</v>
      </c>
    </row>
    <row r="187" spans="1:53">
      <c r="A187" s="17" t="str">
        <f t="shared" si="71"/>
        <v>\cite{Kumar2015}</v>
      </c>
      <c r="B187" s="13" t="s">
        <v>218</v>
      </c>
      <c r="C187" s="13">
        <v>2015</v>
      </c>
      <c r="E187" s="13">
        <f t="shared" si="72"/>
        <v>2015</v>
      </c>
      <c r="F187" s="12">
        <f>LOOKUP(E187,Total_wind_installed_capacity!$A$3:$A$34,Total_wind_installed_capacity!$H$3:$H$34)</f>
        <v>427.65899999999999</v>
      </c>
      <c r="I187" s="18" t="s">
        <v>214</v>
      </c>
      <c r="J187" s="19">
        <v>1500</v>
      </c>
      <c r="K187" s="19">
        <v>1</v>
      </c>
      <c r="L187" s="19">
        <f t="shared" si="98"/>
        <v>1500</v>
      </c>
      <c r="W187" s="25"/>
      <c r="AC187" s="25">
        <f t="shared" si="87"/>
        <v>0</v>
      </c>
      <c r="AE187" s="32">
        <v>1912300</v>
      </c>
      <c r="AG187" s="25">
        <f>AE187/L187/1000</f>
        <v>1.2748666666666666</v>
      </c>
      <c r="AI187" s="27">
        <f>AJ187/L187/8760</f>
        <v>0.40011628614916289</v>
      </c>
      <c r="AJ187" s="20">
        <v>5257528</v>
      </c>
      <c r="AL187" s="13">
        <v>25</v>
      </c>
      <c r="AM187" s="20">
        <f t="shared" si="97"/>
        <v>131438200</v>
      </c>
      <c r="AN187" s="20">
        <f>AM187/L187*1000</f>
        <v>87625466.666666657</v>
      </c>
      <c r="AS187" s="25">
        <f t="shared" si="74"/>
        <v>0</v>
      </c>
      <c r="AT187" s="25"/>
      <c r="AU187" s="25">
        <f t="shared" si="90"/>
        <v>0</v>
      </c>
      <c r="AW187" s="6"/>
      <c r="AX187" s="29">
        <f>AE187*1000/AM187</f>
        <v>14.54904282012383</v>
      </c>
      <c r="AY187" s="25"/>
      <c r="AZ187" s="6"/>
      <c r="BA187" s="18" t="s">
        <v>222</v>
      </c>
    </row>
    <row r="188" spans="1:53">
      <c r="A188" s="17" t="str">
        <f t="shared" si="71"/>
        <v>\cite{Talens Peiro2022}</v>
      </c>
      <c r="B188" s="13" t="s">
        <v>223</v>
      </c>
      <c r="C188" s="13">
        <v>2022</v>
      </c>
      <c r="E188" s="13">
        <f t="shared" si="72"/>
        <v>2022</v>
      </c>
      <c r="F188" s="12">
        <f>LOOKUP(E188,Total_wind_installed_capacity!$A$3:$A$34,Total_wind_installed_capacity!$H$3:$H$34)</f>
        <v>741.39724999999999</v>
      </c>
      <c r="G188" s="18" t="s">
        <v>27</v>
      </c>
      <c r="H188" s="13" t="s">
        <v>33</v>
      </c>
      <c r="I188" s="18" t="s">
        <v>224</v>
      </c>
      <c r="J188" s="19"/>
      <c r="K188" s="19"/>
      <c r="L188" s="19"/>
      <c r="M188" s="21" t="s">
        <v>225</v>
      </c>
      <c r="N188" s="13" t="s">
        <v>24</v>
      </c>
      <c r="V188" s="25">
        <f>4382/1000</f>
        <v>4.3819999999999997</v>
      </c>
      <c r="W188" s="25"/>
      <c r="AC188" s="25" t="e">
        <f t="shared" si="87"/>
        <v>#DIV/0!</v>
      </c>
      <c r="AE188" s="32"/>
      <c r="AG188" s="25">
        <f>353/1000</f>
        <v>0.35299999999999998</v>
      </c>
      <c r="AJ188" s="20"/>
      <c r="AS188" s="25" t="e">
        <f t="shared" si="74"/>
        <v>#DIV/0!</v>
      </c>
      <c r="AT188" s="25"/>
      <c r="AU188" s="25" t="e">
        <f t="shared" si="90"/>
        <v>#DIV/0!</v>
      </c>
      <c r="AW188" s="6"/>
      <c r="AY188" s="25"/>
      <c r="AZ188" s="6"/>
    </row>
    <row r="189" spans="1:53">
      <c r="A189" s="17" t="str">
        <f t="shared" si="71"/>
        <v>\cite{Talens Peiro2022}</v>
      </c>
      <c r="B189" s="13" t="s">
        <v>223</v>
      </c>
      <c r="C189" s="13">
        <v>2022</v>
      </c>
      <c r="E189" s="13">
        <f t="shared" si="72"/>
        <v>2022</v>
      </c>
      <c r="F189" s="12">
        <f>LOOKUP(E189,Total_wind_installed_capacity!$A$3:$A$34,Total_wind_installed_capacity!$H$3:$H$34)</f>
        <v>741.39724999999999</v>
      </c>
      <c r="G189" s="18" t="s">
        <v>27</v>
      </c>
      <c r="H189" s="13" t="s">
        <v>33</v>
      </c>
      <c r="I189" s="18" t="s">
        <v>224</v>
      </c>
      <c r="J189" s="19"/>
      <c r="K189" s="19"/>
      <c r="L189" s="19"/>
      <c r="M189" s="21" t="s">
        <v>226</v>
      </c>
      <c r="N189" s="13" t="s">
        <v>24</v>
      </c>
      <c r="V189" s="25">
        <f>4166/1000</f>
        <v>4.1660000000000004</v>
      </c>
      <c r="W189" s="25"/>
      <c r="AC189" s="25">
        <f t="shared" si="87"/>
        <v>0</v>
      </c>
      <c r="AE189" s="32"/>
      <c r="AG189" s="25">
        <f>326/1000</f>
        <v>0.32600000000000001</v>
      </c>
      <c r="AJ189" s="20"/>
      <c r="AS189" s="25" t="e">
        <f t="shared" si="74"/>
        <v>#DIV/0!</v>
      </c>
      <c r="AT189" s="25"/>
      <c r="AU189" s="25"/>
      <c r="AW189" s="6"/>
      <c r="AX189" s="29"/>
      <c r="AY189" s="25"/>
      <c r="AZ189" s="6"/>
    </row>
    <row r="190" spans="1:53">
      <c r="A190" s="17" t="str">
        <f t="shared" si="71"/>
        <v>\cite{Talens Peiro2022}</v>
      </c>
      <c r="B190" s="13" t="s">
        <v>223</v>
      </c>
      <c r="C190" s="13">
        <v>2022</v>
      </c>
      <c r="E190" s="13">
        <f t="shared" si="72"/>
        <v>2022</v>
      </c>
      <c r="F190" s="12">
        <f>LOOKUP(E190,Total_wind_installed_capacity!$A$3:$A$34,Total_wind_installed_capacity!$H$3:$H$34)</f>
        <v>741.39724999999999</v>
      </c>
      <c r="G190" s="18" t="s">
        <v>27</v>
      </c>
      <c r="H190" s="13" t="s">
        <v>33</v>
      </c>
      <c r="I190" s="18" t="s">
        <v>224</v>
      </c>
      <c r="J190" s="19"/>
      <c r="K190" s="19"/>
      <c r="L190" s="19"/>
      <c r="M190" s="21" t="s">
        <v>227</v>
      </c>
      <c r="N190" s="13" t="s">
        <v>24</v>
      </c>
      <c r="V190" s="25">
        <f>4058/1000</f>
        <v>4.0579999999999998</v>
      </c>
      <c r="W190" s="25"/>
      <c r="AC190" s="25">
        <f t="shared" si="87"/>
        <v>0</v>
      </c>
      <c r="AE190" s="32"/>
      <c r="AG190" s="25">
        <f>329/1000</f>
        <v>0.32900000000000001</v>
      </c>
      <c r="AJ190" s="20"/>
      <c r="AS190" s="25" t="e">
        <f t="shared" si="74"/>
        <v>#DIV/0!</v>
      </c>
      <c r="AT190" s="25"/>
      <c r="AU190" s="25"/>
      <c r="AW190" s="6"/>
      <c r="AX190" s="29"/>
      <c r="AY190" s="25"/>
      <c r="AZ190" s="6"/>
    </row>
    <row r="191" spans="1:53">
      <c r="A191" s="17" t="str">
        <f t="shared" si="71"/>
        <v>\cite{Talens Peiro2022}</v>
      </c>
      <c r="B191" s="13" t="s">
        <v>223</v>
      </c>
      <c r="C191" s="13">
        <v>2022</v>
      </c>
      <c r="E191" s="13">
        <f t="shared" si="72"/>
        <v>2022</v>
      </c>
      <c r="F191" s="12">
        <f>LOOKUP(E191,Total_wind_installed_capacity!$A$3:$A$34,Total_wind_installed_capacity!$H$3:$H$34)</f>
        <v>741.39724999999999</v>
      </c>
      <c r="G191" s="18" t="s">
        <v>27</v>
      </c>
      <c r="H191" s="13" t="s">
        <v>33</v>
      </c>
      <c r="I191" s="18" t="s">
        <v>224</v>
      </c>
      <c r="J191" s="19"/>
      <c r="K191" s="19"/>
      <c r="L191" s="19"/>
      <c r="M191" s="21" t="s">
        <v>228</v>
      </c>
      <c r="N191" s="13" t="s">
        <v>24</v>
      </c>
      <c r="V191" s="25">
        <f>3960/1000</f>
        <v>3.96</v>
      </c>
      <c r="W191" s="25"/>
      <c r="AC191" s="25">
        <f t="shared" si="87"/>
        <v>0</v>
      </c>
      <c r="AE191" s="32"/>
      <c r="AG191" s="25">
        <f>319/1000</f>
        <v>0.31900000000000001</v>
      </c>
      <c r="AJ191" s="20"/>
      <c r="AS191" s="25" t="e">
        <f t="shared" si="74"/>
        <v>#DIV/0!</v>
      </c>
      <c r="AT191" s="25"/>
      <c r="AU191" s="25"/>
      <c r="AW191" s="6"/>
      <c r="AX191" s="29"/>
      <c r="AY191" s="25"/>
      <c r="AZ191" s="6"/>
    </row>
    <row r="192" spans="1:53">
      <c r="A192" s="17" t="str">
        <f t="shared" si="71"/>
        <v>\cite{Maier2017}</v>
      </c>
      <c r="B192" s="13" t="s">
        <v>229</v>
      </c>
      <c r="C192" s="13">
        <v>2017</v>
      </c>
      <c r="E192" s="13">
        <f t="shared" si="72"/>
        <v>2017</v>
      </c>
      <c r="F192" s="12">
        <f>LOOKUP(E192,Total_wind_installed_capacity!$A$3:$A$34,Total_wind_installed_capacity!$H$3:$H$34)</f>
        <v>530.78719999999998</v>
      </c>
      <c r="G192" s="18" t="s">
        <v>27</v>
      </c>
      <c r="H192" s="13" t="s">
        <v>33</v>
      </c>
      <c r="I192" s="18" t="s">
        <v>224</v>
      </c>
      <c r="J192" s="19"/>
      <c r="K192" s="19">
        <v>1</v>
      </c>
      <c r="L192" s="19">
        <v>5000</v>
      </c>
      <c r="N192" s="13" t="s">
        <v>31</v>
      </c>
      <c r="Q192" s="13" t="s">
        <v>35</v>
      </c>
      <c r="V192" s="25"/>
      <c r="W192" s="25"/>
      <c r="AC192" s="25">
        <f t="shared" si="87"/>
        <v>0</v>
      </c>
      <c r="AE192" s="32"/>
      <c r="AG192" s="25"/>
      <c r="AJ192" s="20"/>
      <c r="AN192" s="20">
        <f t="shared" ref="AN192:AN223" si="99">AM192/L192*1000</f>
        <v>0</v>
      </c>
      <c r="AS192" s="25" t="e">
        <f t="shared" si="74"/>
        <v>#DIV/0!</v>
      </c>
      <c r="AT192" s="25"/>
      <c r="AU192" s="25"/>
      <c r="AW192" s="6"/>
      <c r="AX192" s="29">
        <f>6800000/1000000</f>
        <v>6.8</v>
      </c>
      <c r="AY192" s="25"/>
      <c r="AZ192" s="6"/>
      <c r="BA192" s="18" t="s">
        <v>230</v>
      </c>
    </row>
    <row r="193" spans="1:53">
      <c r="A193" s="17" t="str">
        <f t="shared" si="71"/>
        <v>\cite{Angelakoglou2014}</v>
      </c>
      <c r="B193" s="13" t="s">
        <v>231</v>
      </c>
      <c r="C193" s="13">
        <v>2014</v>
      </c>
      <c r="E193" s="13">
        <f t="shared" si="72"/>
        <v>2014</v>
      </c>
      <c r="F193" s="12">
        <f>LOOKUP(E193,Total_wind_installed_capacity!$A$3:$A$34,Total_wind_installed_capacity!$H$3:$H$34)</f>
        <v>360.68525</v>
      </c>
      <c r="G193" s="18" t="s">
        <v>27</v>
      </c>
      <c r="H193" s="13" t="s">
        <v>33</v>
      </c>
      <c r="I193" s="18" t="s">
        <v>224</v>
      </c>
      <c r="J193" s="19">
        <v>3000</v>
      </c>
      <c r="K193" s="19">
        <v>1</v>
      </c>
      <c r="L193" s="19">
        <f t="shared" si="98"/>
        <v>3000</v>
      </c>
      <c r="N193" s="13" t="s">
        <v>24</v>
      </c>
      <c r="O193" s="13">
        <v>90</v>
      </c>
      <c r="P193" s="13">
        <v>85</v>
      </c>
      <c r="Q193" s="13" t="s">
        <v>35</v>
      </c>
      <c r="V193" s="25"/>
      <c r="W193" s="25"/>
      <c r="AC193" s="25">
        <f t="shared" si="87"/>
        <v>0</v>
      </c>
      <c r="AE193" s="32">
        <v>1520000</v>
      </c>
      <c r="AG193" s="25">
        <f t="shared" ref="AG193:AG200" si="100">AE193/$L193/1000</f>
        <v>0.50666666666666671</v>
      </c>
      <c r="AI193" s="27">
        <f>AJ193/L193/8760</f>
        <v>0.19029680365296803</v>
      </c>
      <c r="AJ193" s="20">
        <f>5001000</f>
        <v>5001000</v>
      </c>
      <c r="AL193" s="13">
        <v>25</v>
      </c>
      <c r="AM193" s="20">
        <f t="shared" ref="AM193:AM209" si="101">AJ193*AL193</f>
        <v>125025000</v>
      </c>
      <c r="AN193" s="20">
        <f t="shared" si="99"/>
        <v>41675000</v>
      </c>
      <c r="AS193" s="25">
        <f t="shared" si="74"/>
        <v>0</v>
      </c>
      <c r="AT193" s="25"/>
      <c r="AU193" s="25"/>
      <c r="AW193" s="6"/>
      <c r="AX193" s="29">
        <f t="shared" ref="AX193:AX198" si="102">AE193*1000/AM193</f>
        <v>12.15756848630274</v>
      </c>
      <c r="AY193" s="25"/>
      <c r="AZ193" s="6"/>
      <c r="BA193" s="18" t="s">
        <v>155</v>
      </c>
    </row>
    <row r="194" spans="1:53">
      <c r="A194" s="17" t="str">
        <f t="shared" si="71"/>
        <v>\cite{Angelakoglou2014}</v>
      </c>
      <c r="B194" s="13" t="s">
        <v>231</v>
      </c>
      <c r="C194" s="13">
        <v>2014</v>
      </c>
      <c r="E194" s="13">
        <f t="shared" si="72"/>
        <v>2014</v>
      </c>
      <c r="F194" s="12">
        <f>LOOKUP(E194,Total_wind_installed_capacity!$A$3:$A$34,Total_wind_installed_capacity!$H$3:$H$34)</f>
        <v>360.68525</v>
      </c>
      <c r="G194" s="18" t="s">
        <v>27</v>
      </c>
      <c r="H194" s="13" t="s">
        <v>33</v>
      </c>
      <c r="I194" s="18" t="s">
        <v>224</v>
      </c>
      <c r="J194" s="19">
        <v>3000</v>
      </c>
      <c r="K194" s="19">
        <v>1</v>
      </c>
      <c r="L194" s="19">
        <f t="shared" si="98"/>
        <v>3000</v>
      </c>
      <c r="N194" s="13" t="s">
        <v>24</v>
      </c>
      <c r="O194" s="13">
        <v>90</v>
      </c>
      <c r="P194" s="13">
        <v>95</v>
      </c>
      <c r="Q194" s="13" t="s">
        <v>35</v>
      </c>
      <c r="V194" s="25"/>
      <c r="W194" s="25"/>
      <c r="AC194" s="25">
        <f t="shared" si="87"/>
        <v>0</v>
      </c>
      <c r="AE194" s="32">
        <f>AE193*1.8</f>
        <v>2736000</v>
      </c>
      <c r="AG194" s="25">
        <f t="shared" si="100"/>
        <v>0.91200000000000003</v>
      </c>
      <c r="AI194" s="27">
        <f>AJ194/L194/8760</f>
        <v>0.41815068493150687</v>
      </c>
      <c r="AJ194" s="20">
        <f>10989000</f>
        <v>10989000</v>
      </c>
      <c r="AL194" s="13">
        <v>25</v>
      </c>
      <c r="AM194" s="20">
        <f t="shared" si="101"/>
        <v>274725000</v>
      </c>
      <c r="AN194" s="20">
        <f t="shared" si="99"/>
        <v>91575000</v>
      </c>
      <c r="AS194" s="25">
        <f t="shared" si="74"/>
        <v>0</v>
      </c>
      <c r="AT194" s="25"/>
      <c r="AU194" s="25"/>
      <c r="AW194" s="6"/>
      <c r="AX194" s="29">
        <f t="shared" si="102"/>
        <v>9.9590499590499597</v>
      </c>
      <c r="AY194" s="25"/>
      <c r="AZ194" s="6"/>
      <c r="BA194" s="18" t="s">
        <v>156</v>
      </c>
    </row>
    <row r="195" spans="1:53">
      <c r="A195" s="17" t="str">
        <f t="shared" ref="A195:A258" si="103">CONCATENATE("\cite{",B195,C195,"}")</f>
        <v>\cite{Angelakoglou2014}</v>
      </c>
      <c r="B195" s="13" t="s">
        <v>231</v>
      </c>
      <c r="C195" s="13">
        <v>2014</v>
      </c>
      <c r="E195" s="13">
        <f t="shared" ref="E195:E258" si="104">IF(D195&gt;0,D195,C195)</f>
        <v>2014</v>
      </c>
      <c r="F195" s="12">
        <f>LOOKUP(E195,Total_wind_installed_capacity!$A$3:$A$34,Total_wind_installed_capacity!$H$3:$H$34)</f>
        <v>360.68525</v>
      </c>
      <c r="G195" s="18" t="s">
        <v>27</v>
      </c>
      <c r="H195" s="13" t="s">
        <v>33</v>
      </c>
      <c r="I195" s="18" t="s">
        <v>224</v>
      </c>
      <c r="J195" s="19">
        <v>3000</v>
      </c>
      <c r="K195" s="19">
        <v>1</v>
      </c>
      <c r="L195" s="19">
        <f t="shared" si="98"/>
        <v>3000</v>
      </c>
      <c r="N195" s="13" t="s">
        <v>31</v>
      </c>
      <c r="O195" s="13">
        <v>90</v>
      </c>
      <c r="P195" s="13">
        <v>105</v>
      </c>
      <c r="Q195" s="13" t="s">
        <v>35</v>
      </c>
      <c r="V195" s="25"/>
      <c r="W195" s="25"/>
      <c r="AC195" s="25">
        <f t="shared" si="87"/>
        <v>0</v>
      </c>
      <c r="AE195" s="32">
        <f>AE193*2.8</f>
        <v>4256000</v>
      </c>
      <c r="AG195" s="25">
        <f t="shared" si="100"/>
        <v>1.4186666666666667</v>
      </c>
      <c r="AI195" s="27">
        <f>AJ195/L195/8760</f>
        <v>0.59052511415525111</v>
      </c>
      <c r="AJ195" s="20">
        <f>15519000</f>
        <v>15519000</v>
      </c>
      <c r="AL195" s="13">
        <v>25</v>
      </c>
      <c r="AM195" s="20">
        <f t="shared" si="101"/>
        <v>387975000</v>
      </c>
      <c r="AN195" s="20">
        <f t="shared" si="99"/>
        <v>129325000</v>
      </c>
      <c r="AS195" s="25">
        <f t="shared" ref="AS195:AS258" si="105">R195/AM195</f>
        <v>0</v>
      </c>
      <c r="AT195" s="25"/>
      <c r="AU195" s="25"/>
      <c r="AW195" s="6"/>
      <c r="AX195" s="29">
        <f t="shared" si="102"/>
        <v>10.969778980604421</v>
      </c>
      <c r="AY195" s="25"/>
      <c r="AZ195" s="6"/>
    </row>
    <row r="196" spans="1:53">
      <c r="A196" s="17" t="str">
        <f t="shared" si="103"/>
        <v>\cite{Ji2016}</v>
      </c>
      <c r="B196" s="13" t="s">
        <v>108</v>
      </c>
      <c r="C196" s="13">
        <v>2016</v>
      </c>
      <c r="E196" s="13">
        <f t="shared" si="104"/>
        <v>2016</v>
      </c>
      <c r="F196" s="12">
        <f>LOOKUP(E196,Total_wind_installed_capacity!$A$3:$A$34,Total_wind_installed_capacity!$H$3:$H$34)</f>
        <v>480.73440000000005</v>
      </c>
      <c r="G196" s="18" t="s">
        <v>109</v>
      </c>
      <c r="H196" s="13" t="s">
        <v>33</v>
      </c>
      <c r="I196" s="18" t="s">
        <v>19</v>
      </c>
      <c r="J196" s="19">
        <v>2000</v>
      </c>
      <c r="K196" s="19">
        <v>24</v>
      </c>
      <c r="L196" s="19">
        <f t="shared" si="98"/>
        <v>48000</v>
      </c>
      <c r="N196" s="13" t="s">
        <v>24</v>
      </c>
      <c r="Q196" s="13" t="s">
        <v>20</v>
      </c>
      <c r="V196" s="25"/>
      <c r="W196" s="25"/>
      <c r="AC196" s="25">
        <f t="shared" si="87"/>
        <v>0</v>
      </c>
      <c r="AE196" s="32">
        <v>14490000</v>
      </c>
      <c r="AG196" s="25">
        <f t="shared" si="100"/>
        <v>0.301875</v>
      </c>
      <c r="AI196" s="27">
        <f>AJ196/L196/8760</f>
        <v>0.30270167427701672</v>
      </c>
      <c r="AJ196" s="20">
        <f>127280000</f>
        <v>127280000</v>
      </c>
      <c r="AL196" s="13">
        <v>20</v>
      </c>
      <c r="AM196" s="20">
        <f t="shared" si="101"/>
        <v>2545600000</v>
      </c>
      <c r="AN196" s="20">
        <f t="shared" si="99"/>
        <v>53033333.333333336</v>
      </c>
      <c r="AS196" s="25">
        <f t="shared" si="105"/>
        <v>0</v>
      </c>
      <c r="AT196" s="25"/>
      <c r="AU196" s="25"/>
      <c r="AW196" s="6"/>
      <c r="AX196" s="29">
        <f t="shared" si="102"/>
        <v>5.6921747328724077</v>
      </c>
      <c r="AY196" s="25"/>
      <c r="AZ196" s="6"/>
    </row>
    <row r="197" spans="1:53">
      <c r="A197" s="17" t="str">
        <f t="shared" si="103"/>
        <v>\cite{Vargas2015}</v>
      </c>
      <c r="B197" s="13" t="s">
        <v>232</v>
      </c>
      <c r="C197" s="13">
        <v>2015</v>
      </c>
      <c r="E197" s="13">
        <f t="shared" si="104"/>
        <v>2015</v>
      </c>
      <c r="F197" s="12">
        <f>LOOKUP(E197,Total_wind_installed_capacity!$A$3:$A$34,Total_wind_installed_capacity!$H$3:$H$34)</f>
        <v>427.65899999999999</v>
      </c>
      <c r="G197" s="18" t="s">
        <v>27</v>
      </c>
      <c r="H197" s="13" t="s">
        <v>33</v>
      </c>
      <c r="I197" s="18" t="s">
        <v>233</v>
      </c>
      <c r="J197" s="19">
        <v>2000</v>
      </c>
      <c r="K197" s="19">
        <v>1</v>
      </c>
      <c r="L197" s="19">
        <f t="shared" si="98"/>
        <v>2000</v>
      </c>
      <c r="N197" s="13" t="s">
        <v>24</v>
      </c>
      <c r="O197" s="13">
        <v>80</v>
      </c>
      <c r="Q197" s="13" t="s">
        <v>35</v>
      </c>
      <c r="V197" s="25"/>
      <c r="W197" s="25"/>
      <c r="AC197" s="25">
        <f t="shared" si="87"/>
        <v>0</v>
      </c>
      <c r="AE197" s="32">
        <f>403560</f>
        <v>403560</v>
      </c>
      <c r="AG197" s="25">
        <f t="shared" si="100"/>
        <v>0.20178000000000001</v>
      </c>
      <c r="AI197" s="27">
        <f>AVERAGE(0.2,0.25)</f>
        <v>0.22500000000000001</v>
      </c>
      <c r="AJ197" s="20">
        <f>AI197*8760*L197</f>
        <v>3942000</v>
      </c>
      <c r="AL197" s="13">
        <v>20</v>
      </c>
      <c r="AM197" s="20">
        <f t="shared" si="101"/>
        <v>78840000</v>
      </c>
      <c r="AN197" s="20">
        <f t="shared" si="99"/>
        <v>39420000</v>
      </c>
      <c r="AS197" s="25">
        <f t="shared" si="105"/>
        <v>0</v>
      </c>
      <c r="AT197" s="25"/>
      <c r="AU197" s="25"/>
      <c r="AW197" s="6"/>
      <c r="AX197" s="29">
        <f t="shared" si="102"/>
        <v>5.1187214611872145</v>
      </c>
      <c r="AY197" s="25"/>
      <c r="AZ197" s="6"/>
      <c r="BA197" s="18" t="s">
        <v>234</v>
      </c>
    </row>
    <row r="198" spans="1:53">
      <c r="A198" s="17" t="str">
        <f t="shared" si="103"/>
        <v>\cite{Vargas2015}</v>
      </c>
      <c r="B198" s="13" t="s">
        <v>232</v>
      </c>
      <c r="C198" s="13">
        <v>2015</v>
      </c>
      <c r="E198" s="13">
        <f t="shared" si="104"/>
        <v>2015</v>
      </c>
      <c r="F198" s="12">
        <f>LOOKUP(E198,Total_wind_installed_capacity!$A$3:$A$34,Total_wind_installed_capacity!$H$3:$H$34)</f>
        <v>427.65899999999999</v>
      </c>
      <c r="G198" s="18" t="s">
        <v>27</v>
      </c>
      <c r="H198" s="13" t="s">
        <v>33</v>
      </c>
      <c r="I198" s="18" t="s">
        <v>233</v>
      </c>
      <c r="J198" s="19">
        <v>2000</v>
      </c>
      <c r="K198" s="19">
        <v>1</v>
      </c>
      <c r="L198" s="19">
        <f t="shared" si="98"/>
        <v>2000</v>
      </c>
      <c r="N198" s="13" t="s">
        <v>24</v>
      </c>
      <c r="O198" s="13">
        <v>80</v>
      </c>
      <c r="Q198" s="13" t="s">
        <v>35</v>
      </c>
      <c r="V198" s="25"/>
      <c r="W198" s="25"/>
      <c r="AC198" s="25">
        <f t="shared" si="87"/>
        <v>0</v>
      </c>
      <c r="AE198" s="32">
        <f>551940</f>
        <v>551940</v>
      </c>
      <c r="AG198" s="25">
        <f t="shared" si="100"/>
        <v>0.27597000000000005</v>
      </c>
      <c r="AI198" s="27">
        <f>AVERAGE(0.2,0.25)</f>
        <v>0.22500000000000001</v>
      </c>
      <c r="AJ198" s="20">
        <f>AI198*8760*L198</f>
        <v>3942000</v>
      </c>
      <c r="AL198" s="13">
        <v>20</v>
      </c>
      <c r="AM198" s="20">
        <f t="shared" si="101"/>
        <v>78840000</v>
      </c>
      <c r="AN198" s="20">
        <f t="shared" si="99"/>
        <v>39420000</v>
      </c>
      <c r="AS198" s="25">
        <f t="shared" si="105"/>
        <v>0</v>
      </c>
      <c r="AT198" s="25"/>
      <c r="AU198" s="25"/>
      <c r="AW198" s="6"/>
      <c r="AX198" s="29">
        <f t="shared" si="102"/>
        <v>7.0007610350076099</v>
      </c>
      <c r="AY198" s="25"/>
      <c r="AZ198" s="6"/>
      <c r="BA198" s="18" t="s">
        <v>235</v>
      </c>
    </row>
    <row r="199" spans="1:53" s="35" customFormat="1">
      <c r="A199" s="17" t="str">
        <f t="shared" si="103"/>
        <v>\cite{Wang2016}</v>
      </c>
      <c r="B199" s="35" t="s">
        <v>26</v>
      </c>
      <c r="C199" s="35">
        <v>2016</v>
      </c>
      <c r="E199" s="13">
        <f t="shared" si="104"/>
        <v>2016</v>
      </c>
      <c r="F199" s="12">
        <f>LOOKUP(E199,Total_wind_installed_capacity!$A$3:$A$34,Total_wind_installed_capacity!$H$3:$H$34)</f>
        <v>480.73440000000005</v>
      </c>
      <c r="G199" s="36" t="s">
        <v>27</v>
      </c>
      <c r="H199" s="35" t="s">
        <v>33</v>
      </c>
      <c r="I199" s="36" t="s">
        <v>236</v>
      </c>
      <c r="J199" s="37">
        <v>6</v>
      </c>
      <c r="K199" s="37">
        <v>2</v>
      </c>
      <c r="L199" s="37">
        <f t="shared" si="98"/>
        <v>12</v>
      </c>
      <c r="M199" s="38"/>
      <c r="N199" s="35" t="s">
        <v>24</v>
      </c>
      <c r="Q199" s="35" t="s">
        <v>20</v>
      </c>
      <c r="R199" s="39"/>
      <c r="V199" s="41"/>
      <c r="W199" s="41"/>
      <c r="AC199" s="25">
        <f t="shared" si="87"/>
        <v>0</v>
      </c>
      <c r="AE199" s="42">
        <f>AX199*AM199</f>
        <v>565446882</v>
      </c>
      <c r="AG199" s="41">
        <f>AE199/$L199/1000</f>
        <v>47120.573499999999</v>
      </c>
      <c r="AI199" s="43">
        <f t="shared" ref="AI199:AI205" si="106">AJ199/L199/8760</f>
        <v>9.5224505327245058E-4</v>
      </c>
      <c r="AJ199" s="37">
        <f>5.8+3.4+1.8+0.7+0.9+7.2+5.4+10.7+16.9+12.2+13.3+21.8</f>
        <v>100.1</v>
      </c>
      <c r="AK199" s="44"/>
      <c r="AL199" s="35">
        <v>20</v>
      </c>
      <c r="AM199" s="37">
        <f t="shared" si="101"/>
        <v>2002</v>
      </c>
      <c r="AN199" s="20">
        <f t="shared" si="99"/>
        <v>166833.33333333334</v>
      </c>
      <c r="AO199" s="36"/>
      <c r="AS199" s="25">
        <f t="shared" si="105"/>
        <v>0</v>
      </c>
      <c r="AT199" s="25"/>
      <c r="AU199" s="25"/>
      <c r="AW199" s="45"/>
      <c r="AX199" s="46">
        <f>282.441*1000</f>
        <v>282441</v>
      </c>
      <c r="AY199" s="25"/>
      <c r="AZ199" s="45"/>
      <c r="BA199" s="36" t="s">
        <v>237</v>
      </c>
    </row>
    <row r="200" spans="1:53">
      <c r="A200" s="17" t="str">
        <f t="shared" si="103"/>
        <v>\cite{Li2021}</v>
      </c>
      <c r="B200" s="13" t="s">
        <v>18</v>
      </c>
      <c r="C200" s="13">
        <v>2021</v>
      </c>
      <c r="E200" s="13">
        <f t="shared" si="104"/>
        <v>2021</v>
      </c>
      <c r="F200" s="12">
        <f>LOOKUP(E200,Total_wind_installed_capacity!$A$3:$A$34,Total_wind_installed_capacity!$H$3:$H$34)</f>
        <v>741.39724999999999</v>
      </c>
      <c r="G200" s="18" t="s">
        <v>27</v>
      </c>
      <c r="H200" s="13" t="s">
        <v>33</v>
      </c>
      <c r="I200" s="18" t="s">
        <v>19</v>
      </c>
      <c r="J200" s="19">
        <v>2000</v>
      </c>
      <c r="K200" s="19">
        <v>20</v>
      </c>
      <c r="L200" s="19">
        <f t="shared" si="98"/>
        <v>40000</v>
      </c>
      <c r="N200" s="13" t="s">
        <v>24</v>
      </c>
      <c r="Q200" s="13" t="s">
        <v>20</v>
      </c>
      <c r="V200" s="25"/>
      <c r="W200" s="25"/>
      <c r="AC200" s="25">
        <f t="shared" si="87"/>
        <v>0</v>
      </c>
      <c r="AE200" s="32">
        <v>52331000</v>
      </c>
      <c r="AF200" s="13">
        <f>(59297-45436)/2</f>
        <v>6930.5</v>
      </c>
      <c r="AG200" s="25">
        <f t="shared" si="100"/>
        <v>1.3082750000000001</v>
      </c>
      <c r="AH200" s="25">
        <f>AF200/$L200/1000</f>
        <v>1.7326250000000002E-4</v>
      </c>
      <c r="AI200" s="27">
        <f t="shared" si="106"/>
        <v>0.26455479452054792</v>
      </c>
      <c r="AJ200" s="20">
        <f>92700000</f>
        <v>92700000</v>
      </c>
      <c r="AL200" s="13">
        <v>20</v>
      </c>
      <c r="AM200" s="20">
        <f t="shared" si="101"/>
        <v>1854000000</v>
      </c>
      <c r="AN200" s="20">
        <f t="shared" si="99"/>
        <v>46350000</v>
      </c>
      <c r="AS200" s="25">
        <f t="shared" si="105"/>
        <v>0</v>
      </c>
      <c r="AT200" s="25"/>
      <c r="AU200" s="25"/>
      <c r="AW200" s="6"/>
      <c r="AX200" s="29">
        <f t="shared" ref="AX200:AY205" si="107">AE200*1000/$AM200</f>
        <v>28.225997842502696</v>
      </c>
      <c r="AY200" s="25">
        <f t="shared" si="107"/>
        <v>3.7381337648327941E-3</v>
      </c>
      <c r="AZ200" s="6"/>
      <c r="BA200" s="18" t="s">
        <v>238</v>
      </c>
    </row>
    <row r="201" spans="1:53">
      <c r="A201" s="17" t="str">
        <f t="shared" si="103"/>
        <v>\cite{Li2021}</v>
      </c>
      <c r="B201" s="13" t="s">
        <v>18</v>
      </c>
      <c r="C201" s="13">
        <v>2021</v>
      </c>
      <c r="E201" s="13">
        <f t="shared" si="104"/>
        <v>2021</v>
      </c>
      <c r="F201" s="12">
        <f>LOOKUP(E201,Total_wind_installed_capacity!$A$3:$A$34,Total_wind_installed_capacity!$H$3:$H$34)</f>
        <v>741.39724999999999</v>
      </c>
      <c r="G201" s="18" t="s">
        <v>27</v>
      </c>
      <c r="H201" s="13" t="s">
        <v>33</v>
      </c>
      <c r="I201" s="18" t="s">
        <v>19</v>
      </c>
      <c r="J201" s="19">
        <v>2000</v>
      </c>
      <c r="K201" s="19">
        <v>20</v>
      </c>
      <c r="L201" s="19">
        <f t="shared" si="98"/>
        <v>40000</v>
      </c>
      <c r="N201" s="13" t="s">
        <v>24</v>
      </c>
      <c r="Q201" s="13" t="s">
        <v>20</v>
      </c>
      <c r="V201" s="25"/>
      <c r="W201" s="25"/>
      <c r="AC201" s="25">
        <f t="shared" si="87"/>
        <v>0</v>
      </c>
      <c r="AE201" s="32">
        <v>79171000</v>
      </c>
      <c r="AG201" s="25">
        <f>AE201/$L201/1000/2</f>
        <v>0.98963750000000006</v>
      </c>
      <c r="AI201" s="27">
        <f t="shared" si="106"/>
        <v>0.26455479452054792</v>
      </c>
      <c r="AJ201" s="20">
        <f t="shared" ref="AJ201:AJ205" si="108">92700000</f>
        <v>92700000</v>
      </c>
      <c r="AL201" s="13">
        <v>40</v>
      </c>
      <c r="AM201" s="20">
        <f t="shared" si="101"/>
        <v>3708000000</v>
      </c>
      <c r="AN201" s="20">
        <f t="shared" si="99"/>
        <v>92700000</v>
      </c>
      <c r="AS201" s="25">
        <f t="shared" si="105"/>
        <v>0</v>
      </c>
      <c r="AT201" s="25"/>
      <c r="AU201" s="25"/>
      <c r="AW201" s="6"/>
      <c r="AX201" s="29">
        <f t="shared" si="107"/>
        <v>21.351402373247033</v>
      </c>
      <c r="AY201" s="25">
        <f t="shared" si="107"/>
        <v>0</v>
      </c>
      <c r="AZ201" s="6"/>
      <c r="BA201" s="18" t="s">
        <v>239</v>
      </c>
    </row>
    <row r="202" spans="1:53">
      <c r="A202" s="17" t="str">
        <f t="shared" si="103"/>
        <v>\cite{Li2021}</v>
      </c>
      <c r="B202" s="13" t="s">
        <v>18</v>
      </c>
      <c r="C202" s="13">
        <v>2021</v>
      </c>
      <c r="E202" s="13">
        <f t="shared" si="104"/>
        <v>2021</v>
      </c>
      <c r="F202" s="12">
        <f>LOOKUP(E202,Total_wind_installed_capacity!$A$3:$A$34,Total_wind_installed_capacity!$H$3:$H$34)</f>
        <v>741.39724999999999</v>
      </c>
      <c r="G202" s="18" t="s">
        <v>27</v>
      </c>
      <c r="H202" s="13" t="s">
        <v>33</v>
      </c>
      <c r="I202" s="18" t="s">
        <v>19</v>
      </c>
      <c r="J202" s="19">
        <v>2000</v>
      </c>
      <c r="K202" s="19">
        <v>20</v>
      </c>
      <c r="L202" s="19">
        <f t="shared" si="98"/>
        <v>40000</v>
      </c>
      <c r="N202" s="13" t="s">
        <v>24</v>
      </c>
      <c r="Q202" s="13" t="s">
        <v>20</v>
      </c>
      <c r="V202" s="25"/>
      <c r="W202" s="25"/>
      <c r="AC202" s="25">
        <f t="shared" si="87"/>
        <v>0</v>
      </c>
      <c r="AE202" s="32">
        <v>104496000</v>
      </c>
      <c r="AG202" s="25">
        <f>AE202/$L202/1000/3</f>
        <v>0.87080000000000002</v>
      </c>
      <c r="AI202" s="27">
        <f t="shared" si="106"/>
        <v>0.26455479452054792</v>
      </c>
      <c r="AJ202" s="20">
        <f t="shared" si="108"/>
        <v>92700000</v>
      </c>
      <c r="AL202" s="13">
        <v>60</v>
      </c>
      <c r="AM202" s="20">
        <f t="shared" si="101"/>
        <v>5562000000</v>
      </c>
      <c r="AN202" s="20">
        <f t="shared" si="99"/>
        <v>139050000</v>
      </c>
      <c r="AS202" s="25">
        <f t="shared" si="105"/>
        <v>0</v>
      </c>
      <c r="AT202" s="25"/>
      <c r="AU202" s="25"/>
      <c r="AW202" s="6"/>
      <c r="AX202" s="29">
        <f t="shared" si="107"/>
        <v>18.787486515641856</v>
      </c>
      <c r="AY202" s="25">
        <f t="shared" si="107"/>
        <v>0</v>
      </c>
      <c r="AZ202" s="6"/>
      <c r="BA202" s="18" t="s">
        <v>240</v>
      </c>
    </row>
    <row r="203" spans="1:53">
      <c r="A203" s="17" t="str">
        <f t="shared" si="103"/>
        <v>\cite{Li2021}</v>
      </c>
      <c r="B203" s="13" t="s">
        <v>18</v>
      </c>
      <c r="C203" s="13">
        <v>2021</v>
      </c>
      <c r="E203" s="13">
        <f t="shared" si="104"/>
        <v>2021</v>
      </c>
      <c r="F203" s="12">
        <f>LOOKUP(E203,Total_wind_installed_capacity!$A$3:$A$34,Total_wind_installed_capacity!$H$3:$H$34)</f>
        <v>741.39724999999999</v>
      </c>
      <c r="G203" s="18" t="s">
        <v>27</v>
      </c>
      <c r="H203" s="13" t="s">
        <v>33</v>
      </c>
      <c r="I203" s="18" t="s">
        <v>19</v>
      </c>
      <c r="J203" s="19">
        <v>2000</v>
      </c>
      <c r="K203" s="19">
        <v>20</v>
      </c>
      <c r="L203" s="19">
        <f t="shared" si="98"/>
        <v>40000</v>
      </c>
      <c r="N203" s="13" t="s">
        <v>24</v>
      </c>
      <c r="Q203" s="13" t="s">
        <v>20</v>
      </c>
      <c r="V203" s="25"/>
      <c r="W203" s="25"/>
      <c r="AC203" s="25">
        <f t="shared" si="87"/>
        <v>0</v>
      </c>
      <c r="AE203" s="32">
        <v>130871000</v>
      </c>
      <c r="AG203" s="25">
        <f>AE203/$L203/1000/4</f>
        <v>0.81794374999999997</v>
      </c>
      <c r="AI203" s="27">
        <f t="shared" si="106"/>
        <v>0.26455479452054792</v>
      </c>
      <c r="AJ203" s="20">
        <f t="shared" si="108"/>
        <v>92700000</v>
      </c>
      <c r="AL203" s="13">
        <v>80</v>
      </c>
      <c r="AM203" s="20">
        <f t="shared" si="101"/>
        <v>7416000000</v>
      </c>
      <c r="AN203" s="20">
        <f t="shared" si="99"/>
        <v>185400000</v>
      </c>
      <c r="AS203" s="25">
        <f t="shared" si="105"/>
        <v>0</v>
      </c>
      <c r="AT203" s="25"/>
      <c r="AU203" s="25"/>
      <c r="AW203" s="6"/>
      <c r="AX203" s="29">
        <f t="shared" si="107"/>
        <v>17.647114347357064</v>
      </c>
      <c r="AY203" s="25">
        <f t="shared" si="107"/>
        <v>0</v>
      </c>
      <c r="AZ203" s="6"/>
      <c r="BA203" s="18" t="s">
        <v>241</v>
      </c>
    </row>
    <row r="204" spans="1:53">
      <c r="A204" s="17" t="str">
        <f t="shared" si="103"/>
        <v>\cite{Li2021}</v>
      </c>
      <c r="B204" s="13" t="s">
        <v>18</v>
      </c>
      <c r="C204" s="13">
        <v>2021</v>
      </c>
      <c r="E204" s="13">
        <f t="shared" si="104"/>
        <v>2021</v>
      </c>
      <c r="F204" s="12">
        <f>LOOKUP(E204,Total_wind_installed_capacity!$A$3:$A$34,Total_wind_installed_capacity!$H$3:$H$34)</f>
        <v>741.39724999999999</v>
      </c>
      <c r="G204" s="18" t="s">
        <v>27</v>
      </c>
      <c r="H204" s="13" t="s">
        <v>33</v>
      </c>
      <c r="I204" s="18" t="s">
        <v>19</v>
      </c>
      <c r="J204" s="19">
        <v>2000</v>
      </c>
      <c r="K204" s="19">
        <v>20</v>
      </c>
      <c r="L204" s="19">
        <f t="shared" si="98"/>
        <v>40000</v>
      </c>
      <c r="N204" s="13" t="s">
        <v>24</v>
      </c>
      <c r="Q204" s="13" t="s">
        <v>20</v>
      </c>
      <c r="V204" s="25"/>
      <c r="W204" s="25"/>
      <c r="AC204" s="25">
        <f t="shared" si="87"/>
        <v>0</v>
      </c>
      <c r="AE204" s="32">
        <v>159691000</v>
      </c>
      <c r="AG204" s="25">
        <f>AE204/$L204/1000/5</f>
        <v>0.79845500000000003</v>
      </c>
      <c r="AI204" s="27">
        <f t="shared" si="106"/>
        <v>0.26455479452054792</v>
      </c>
      <c r="AJ204" s="20">
        <f t="shared" si="108"/>
        <v>92700000</v>
      </c>
      <c r="AL204" s="13">
        <v>100</v>
      </c>
      <c r="AM204" s="20">
        <f t="shared" si="101"/>
        <v>9270000000</v>
      </c>
      <c r="AN204" s="20">
        <f t="shared" si="99"/>
        <v>231750000</v>
      </c>
      <c r="AS204" s="25">
        <f t="shared" si="105"/>
        <v>0</v>
      </c>
      <c r="AT204" s="25"/>
      <c r="AU204" s="25"/>
      <c r="AW204" s="6"/>
      <c r="AX204" s="29">
        <f t="shared" si="107"/>
        <v>17.226645091693637</v>
      </c>
      <c r="AY204" s="25">
        <f t="shared" si="107"/>
        <v>0</v>
      </c>
      <c r="AZ204" s="6"/>
      <c r="BA204" s="18" t="s">
        <v>242</v>
      </c>
    </row>
    <row r="205" spans="1:53">
      <c r="A205" s="17" t="str">
        <f t="shared" si="103"/>
        <v>\cite{Li2021}</v>
      </c>
      <c r="B205" s="13" t="s">
        <v>18</v>
      </c>
      <c r="C205" s="13">
        <v>2021</v>
      </c>
      <c r="E205" s="13">
        <f t="shared" si="104"/>
        <v>2021</v>
      </c>
      <c r="F205" s="12">
        <f>LOOKUP(E205,Total_wind_installed_capacity!$A$3:$A$34,Total_wind_installed_capacity!$H$3:$H$34)</f>
        <v>741.39724999999999</v>
      </c>
      <c r="G205" s="18" t="s">
        <v>27</v>
      </c>
      <c r="H205" s="13" t="s">
        <v>33</v>
      </c>
      <c r="I205" s="18" t="s">
        <v>19</v>
      </c>
      <c r="J205" s="19">
        <v>2000</v>
      </c>
      <c r="K205" s="19">
        <v>20</v>
      </c>
      <c r="L205" s="19">
        <f t="shared" si="98"/>
        <v>40000</v>
      </c>
      <c r="N205" s="13" t="s">
        <v>24</v>
      </c>
      <c r="Q205" s="13" t="s">
        <v>20</v>
      </c>
      <c r="V205" s="25"/>
      <c r="W205" s="25"/>
      <c r="AC205" s="25">
        <f t="shared" ref="AC205:AC236" si="109">IF(AND(AA205&gt;0,AM205&gt;0),AA205/AM205, IF(AU205&gt;0, IF(Z205&gt;0, AU205*Z205/100,AU205*30/100),0))</f>
        <v>0</v>
      </c>
      <c r="AE205" s="32">
        <v>152398000</v>
      </c>
      <c r="AG205" s="25">
        <f>AE205/$L205/1000/5</f>
        <v>0.76198999999999995</v>
      </c>
      <c r="AI205" s="27">
        <f t="shared" si="106"/>
        <v>0.26455479452054792</v>
      </c>
      <c r="AJ205" s="20">
        <f t="shared" si="108"/>
        <v>92700000</v>
      </c>
      <c r="AL205" s="13">
        <v>100</v>
      </c>
      <c r="AM205" s="20">
        <f t="shared" si="101"/>
        <v>9270000000</v>
      </c>
      <c r="AN205" s="20">
        <f t="shared" si="99"/>
        <v>231750000</v>
      </c>
      <c r="AS205" s="25">
        <f t="shared" si="105"/>
        <v>0</v>
      </c>
      <c r="AT205" s="25"/>
      <c r="AU205" s="25"/>
      <c r="AW205" s="6"/>
      <c r="AX205" s="29">
        <f t="shared" si="107"/>
        <v>16.439913700107876</v>
      </c>
      <c r="AY205" s="25">
        <f t="shared" si="107"/>
        <v>0</v>
      </c>
      <c r="AZ205" s="6"/>
      <c r="BA205" s="18" t="s">
        <v>243</v>
      </c>
    </row>
    <row r="206" spans="1:53">
      <c r="A206" s="17" t="str">
        <f t="shared" si="103"/>
        <v>\cite{Huang2017}</v>
      </c>
      <c r="B206" s="13" t="s">
        <v>244</v>
      </c>
      <c r="C206" s="13">
        <v>2017</v>
      </c>
      <c r="E206" s="13">
        <f t="shared" si="104"/>
        <v>2017</v>
      </c>
      <c r="F206" s="12">
        <f>LOOKUP(E206,Total_wind_installed_capacity!$A$3:$A$34,Total_wind_installed_capacity!$H$3:$H$34)</f>
        <v>530.78719999999998</v>
      </c>
      <c r="G206" s="18" t="s">
        <v>27</v>
      </c>
      <c r="H206" s="13" t="s">
        <v>33</v>
      </c>
      <c r="I206" s="18" t="s">
        <v>245</v>
      </c>
      <c r="J206" s="19">
        <v>2000</v>
      </c>
      <c r="K206" s="19">
        <v>52</v>
      </c>
      <c r="L206" s="19">
        <f t="shared" si="98"/>
        <v>104000</v>
      </c>
      <c r="M206" s="21" t="s">
        <v>246</v>
      </c>
      <c r="N206" s="13" t="s">
        <v>31</v>
      </c>
      <c r="Q206" s="13" t="s">
        <v>35</v>
      </c>
      <c r="R206" s="22">
        <f>T206*3.6</f>
        <v>1198080000</v>
      </c>
      <c r="T206" s="23">
        <f>AU206*AM206</f>
        <v>332800000</v>
      </c>
      <c r="U206" s="23"/>
      <c r="V206" s="6">
        <f t="shared" ref="V206:V209" si="110">R206/$L206/1000</f>
        <v>11.52</v>
      </c>
      <c r="W206" s="25"/>
      <c r="X206" s="6">
        <f>V206/3.6</f>
        <v>3.1999999999999997</v>
      </c>
      <c r="Y206" s="6"/>
      <c r="AA206" s="24">
        <f t="shared" ref="AA206:AA209" si="111">R206/3.6/100*IF($Z206&gt;0,$Z206,30)</f>
        <v>99840000</v>
      </c>
      <c r="AC206" s="25">
        <f t="shared" si="109"/>
        <v>1.6E-2</v>
      </c>
      <c r="AE206" s="32"/>
      <c r="AG206" s="25"/>
      <c r="AI206" s="27">
        <f>3000/8760</f>
        <v>0.34246575342465752</v>
      </c>
      <c r="AJ206" s="20">
        <f>AI206*8760*L206</f>
        <v>312000000</v>
      </c>
      <c r="AL206" s="13">
        <v>20</v>
      </c>
      <c r="AM206" s="20">
        <f t="shared" si="101"/>
        <v>6240000000</v>
      </c>
      <c r="AN206" s="20">
        <f t="shared" si="99"/>
        <v>60000000</v>
      </c>
      <c r="AS206" s="25">
        <f t="shared" si="105"/>
        <v>0.192</v>
      </c>
      <c r="AT206" s="25"/>
      <c r="AU206" s="25">
        <f>0.192/3.6</f>
        <v>5.333333333333333E-2</v>
      </c>
      <c r="AW206" s="6"/>
      <c r="AX206" s="29"/>
      <c r="AY206" s="25"/>
      <c r="AZ206" s="6"/>
      <c r="BA206" s="18" t="s">
        <v>247</v>
      </c>
    </row>
    <row r="207" spans="1:53">
      <c r="A207" s="17" t="str">
        <f t="shared" si="103"/>
        <v>\cite{Huang2017}</v>
      </c>
      <c r="B207" s="13" t="s">
        <v>244</v>
      </c>
      <c r="C207" s="13">
        <v>2017</v>
      </c>
      <c r="E207" s="13">
        <f t="shared" si="104"/>
        <v>2017</v>
      </c>
      <c r="F207" s="12">
        <f>LOOKUP(E207,Total_wind_installed_capacity!$A$3:$A$34,Total_wind_installed_capacity!$H$3:$H$34)</f>
        <v>530.78719999999998</v>
      </c>
      <c r="G207" s="18" t="s">
        <v>27</v>
      </c>
      <c r="H207" s="13" t="s">
        <v>33</v>
      </c>
      <c r="I207" s="18" t="s">
        <v>245</v>
      </c>
      <c r="J207" s="19">
        <v>2000</v>
      </c>
      <c r="K207" s="19">
        <v>52</v>
      </c>
      <c r="L207" s="19">
        <f t="shared" si="98"/>
        <v>104000</v>
      </c>
      <c r="M207" s="21" t="s">
        <v>246</v>
      </c>
      <c r="N207" s="13" t="s">
        <v>31</v>
      </c>
      <c r="Q207" s="13" t="s">
        <v>35</v>
      </c>
      <c r="R207" s="22">
        <f t="shared" ref="R207:R270" si="112">T207*3.6</f>
        <v>842400000</v>
      </c>
      <c r="T207" s="23">
        <f t="shared" ref="T207:T208" si="113">AU207*AM207</f>
        <v>234000000</v>
      </c>
      <c r="U207" s="23"/>
      <c r="V207" s="6">
        <f t="shared" si="110"/>
        <v>8.1</v>
      </c>
      <c r="W207" s="25"/>
      <c r="X207" s="6">
        <f t="shared" ref="X207:X209" si="114">V207/3.6</f>
        <v>2.25</v>
      </c>
      <c r="Y207" s="6"/>
      <c r="AA207" s="24">
        <f t="shared" si="111"/>
        <v>70200000</v>
      </c>
      <c r="AC207" s="25">
        <f t="shared" si="109"/>
        <v>1.125E-2</v>
      </c>
      <c r="AE207" s="32"/>
      <c r="AG207" s="25"/>
      <c r="AI207" s="27">
        <f t="shared" ref="AI207:AI209" si="115">3000/8760</f>
        <v>0.34246575342465752</v>
      </c>
      <c r="AJ207" s="20">
        <f>AI207*8760*L207</f>
        <v>312000000</v>
      </c>
      <c r="AL207" s="13">
        <v>20</v>
      </c>
      <c r="AM207" s="20">
        <f t="shared" si="101"/>
        <v>6240000000</v>
      </c>
      <c r="AN207" s="20">
        <f t="shared" si="99"/>
        <v>60000000</v>
      </c>
      <c r="AS207" s="25">
        <f t="shared" si="105"/>
        <v>0.13500000000000001</v>
      </c>
      <c r="AT207" s="25"/>
      <c r="AU207" s="25">
        <f>0.135/3.6</f>
        <v>3.7499999999999999E-2</v>
      </c>
      <c r="AW207" s="6"/>
      <c r="AX207" s="29"/>
      <c r="AY207" s="25"/>
      <c r="AZ207" s="6"/>
      <c r="BA207" s="18" t="s">
        <v>248</v>
      </c>
    </row>
    <row r="208" spans="1:53">
      <c r="A208" s="17" t="str">
        <f t="shared" si="103"/>
        <v>\cite{Huang2017}</v>
      </c>
      <c r="B208" s="13" t="s">
        <v>244</v>
      </c>
      <c r="C208" s="13">
        <v>2017</v>
      </c>
      <c r="E208" s="13">
        <f t="shared" si="104"/>
        <v>2017</v>
      </c>
      <c r="F208" s="12">
        <f>LOOKUP(E208,Total_wind_installed_capacity!$A$3:$A$34,Total_wind_installed_capacity!$H$3:$H$34)</f>
        <v>530.78719999999998</v>
      </c>
      <c r="G208" s="18" t="s">
        <v>27</v>
      </c>
      <c r="H208" s="13" t="s">
        <v>33</v>
      </c>
      <c r="I208" s="18" t="s">
        <v>245</v>
      </c>
      <c r="J208" s="19">
        <v>2000</v>
      </c>
      <c r="K208" s="19">
        <v>52</v>
      </c>
      <c r="L208" s="19">
        <f t="shared" si="98"/>
        <v>104000</v>
      </c>
      <c r="M208" s="21" t="s">
        <v>246</v>
      </c>
      <c r="N208" s="13" t="s">
        <v>31</v>
      </c>
      <c r="Q208" s="13" t="s">
        <v>35</v>
      </c>
      <c r="R208" s="22">
        <f t="shared" si="112"/>
        <v>1347840000</v>
      </c>
      <c r="T208" s="23">
        <f t="shared" si="113"/>
        <v>374400000</v>
      </c>
      <c r="U208" s="23"/>
      <c r="V208" s="6">
        <f t="shared" si="110"/>
        <v>12.96</v>
      </c>
      <c r="W208" s="25"/>
      <c r="X208" s="6">
        <f t="shared" si="114"/>
        <v>3.6</v>
      </c>
      <c r="Y208" s="6"/>
      <c r="AA208" s="24">
        <f t="shared" si="111"/>
        <v>112320000</v>
      </c>
      <c r="AC208" s="25">
        <f t="shared" si="109"/>
        <v>1.7999999999999999E-2</v>
      </c>
      <c r="AE208" s="32"/>
      <c r="AG208" s="25"/>
      <c r="AI208" s="27">
        <f t="shared" si="115"/>
        <v>0.34246575342465752</v>
      </c>
      <c r="AJ208" s="20">
        <f>AI208*8760*L208</f>
        <v>312000000</v>
      </c>
      <c r="AL208" s="13">
        <v>20</v>
      </c>
      <c r="AM208" s="20">
        <f t="shared" si="101"/>
        <v>6240000000</v>
      </c>
      <c r="AN208" s="20">
        <f t="shared" si="99"/>
        <v>60000000</v>
      </c>
      <c r="AS208" s="25">
        <f t="shared" si="105"/>
        <v>0.216</v>
      </c>
      <c r="AT208" s="25"/>
      <c r="AU208" s="25">
        <f>0.216/3.6</f>
        <v>0.06</v>
      </c>
      <c r="AW208" s="6"/>
      <c r="AX208" s="29"/>
      <c r="AY208" s="25"/>
      <c r="AZ208" s="6"/>
      <c r="BA208" s="18" t="s">
        <v>249</v>
      </c>
    </row>
    <row r="209" spans="1:53">
      <c r="A209" s="17" t="str">
        <f t="shared" si="103"/>
        <v>\cite{Huang2017}</v>
      </c>
      <c r="B209" s="13" t="s">
        <v>244</v>
      </c>
      <c r="C209" s="13">
        <v>2017</v>
      </c>
      <c r="E209" s="13">
        <f t="shared" si="104"/>
        <v>2017</v>
      </c>
      <c r="F209" s="12">
        <f>LOOKUP(E209,Total_wind_installed_capacity!$A$3:$A$34,Total_wind_installed_capacity!$H$3:$H$34)</f>
        <v>530.78719999999998</v>
      </c>
      <c r="G209" s="18" t="s">
        <v>27</v>
      </c>
      <c r="H209" s="13" t="s">
        <v>33</v>
      </c>
      <c r="I209" s="18" t="s">
        <v>245</v>
      </c>
      <c r="J209" s="19">
        <v>2000</v>
      </c>
      <c r="K209" s="19">
        <v>52</v>
      </c>
      <c r="L209" s="19">
        <f t="shared" si="98"/>
        <v>104000</v>
      </c>
      <c r="M209" s="21" t="s">
        <v>246</v>
      </c>
      <c r="N209" s="13" t="s">
        <v>31</v>
      </c>
      <c r="Q209" s="13" t="s">
        <v>35</v>
      </c>
      <c r="R209" s="22">
        <f t="shared" si="112"/>
        <v>967200000.00000012</v>
      </c>
      <c r="T209" s="23">
        <f>AU209*AM209</f>
        <v>268666666.66666669</v>
      </c>
      <c r="U209" s="23"/>
      <c r="V209" s="6">
        <f t="shared" si="110"/>
        <v>9.3000000000000025</v>
      </c>
      <c r="W209" s="25"/>
      <c r="X209" s="6">
        <f t="shared" si="114"/>
        <v>2.5833333333333339</v>
      </c>
      <c r="Y209" s="6"/>
      <c r="AA209" s="24">
        <f t="shared" si="111"/>
        <v>80600000.000000015</v>
      </c>
      <c r="AC209" s="25">
        <f t="shared" si="109"/>
        <v>1.2916666666666668E-2</v>
      </c>
      <c r="AE209" s="32"/>
      <c r="AG209" s="25"/>
      <c r="AI209" s="27">
        <f t="shared" si="115"/>
        <v>0.34246575342465752</v>
      </c>
      <c r="AJ209" s="20">
        <f>AI209*8760*L209</f>
        <v>312000000</v>
      </c>
      <c r="AL209" s="13">
        <v>20</v>
      </c>
      <c r="AM209" s="20">
        <f t="shared" si="101"/>
        <v>6240000000</v>
      </c>
      <c r="AN209" s="20">
        <f t="shared" si="99"/>
        <v>60000000</v>
      </c>
      <c r="AS209" s="25">
        <f t="shared" si="105"/>
        <v>0.15500000000000003</v>
      </c>
      <c r="AT209" s="25"/>
      <c r="AU209" s="25">
        <f>0.155/3.6</f>
        <v>4.3055555555555555E-2</v>
      </c>
      <c r="AW209" s="6"/>
      <c r="AX209" s="29"/>
      <c r="AY209" s="25"/>
      <c r="AZ209" s="6"/>
      <c r="BA209" s="18" t="s">
        <v>250</v>
      </c>
    </row>
    <row r="210" spans="1:53">
      <c r="A210" s="17" t="str">
        <f t="shared" si="103"/>
        <v>\cite{Gibon2017}</v>
      </c>
      <c r="B210" s="13" t="s">
        <v>251</v>
      </c>
      <c r="C210" s="13">
        <v>2017</v>
      </c>
      <c r="E210" s="13">
        <f t="shared" si="104"/>
        <v>2017</v>
      </c>
      <c r="F210" s="12">
        <f>LOOKUP(E210,Total_wind_installed_capacity!$A$3:$A$34,Total_wind_installed_capacity!$H$3:$H$34)</f>
        <v>530.78719999999998</v>
      </c>
      <c r="G210" s="18" t="s">
        <v>109</v>
      </c>
      <c r="I210" s="18" t="s">
        <v>224</v>
      </c>
      <c r="J210" s="19"/>
      <c r="K210" s="19"/>
      <c r="L210" s="19"/>
      <c r="M210" s="21" t="s">
        <v>252</v>
      </c>
      <c r="N210" s="13" t="s">
        <v>24</v>
      </c>
      <c r="Q210" s="13" t="s">
        <v>20</v>
      </c>
      <c r="R210" s="22">
        <f t="shared" si="112"/>
        <v>0</v>
      </c>
      <c r="V210" s="6"/>
      <c r="W210" s="25"/>
      <c r="X210" s="6"/>
      <c r="Y210" s="6"/>
      <c r="AC210" s="25">
        <f t="shared" si="109"/>
        <v>0</v>
      </c>
      <c r="AE210" s="32"/>
      <c r="AG210" s="25"/>
      <c r="AI210" s="27"/>
      <c r="AJ210" s="20"/>
      <c r="AN210" s="20" t="e">
        <f t="shared" si="99"/>
        <v>#DIV/0!</v>
      </c>
      <c r="AS210" s="25" t="e">
        <f t="shared" si="105"/>
        <v>#DIV/0!</v>
      </c>
      <c r="AT210" s="25"/>
      <c r="AU210" s="25"/>
      <c r="AW210" s="6"/>
      <c r="AX210" s="29">
        <f>0.012964835*1000</f>
        <v>12.964834999999999</v>
      </c>
      <c r="AY210" s="25">
        <f>0.008675439*1000</f>
        <v>8.6754390000000008</v>
      </c>
      <c r="AZ210" s="6"/>
    </row>
    <row r="211" spans="1:53">
      <c r="A211" s="17" t="str">
        <f t="shared" si="103"/>
        <v>\cite{Gibon2017}</v>
      </c>
      <c r="B211" s="13" t="s">
        <v>251</v>
      </c>
      <c r="C211" s="13">
        <v>2017</v>
      </c>
      <c r="E211" s="13">
        <f t="shared" si="104"/>
        <v>2017</v>
      </c>
      <c r="F211" s="12">
        <f>LOOKUP(E211,Total_wind_installed_capacity!$A$3:$A$34,Total_wind_installed_capacity!$H$3:$H$34)</f>
        <v>530.78719999999998</v>
      </c>
      <c r="G211" s="18" t="s">
        <v>109</v>
      </c>
      <c r="I211" s="18" t="s">
        <v>224</v>
      </c>
      <c r="J211" s="19"/>
      <c r="K211" s="19"/>
      <c r="L211" s="19"/>
      <c r="M211" s="21" t="s">
        <v>252</v>
      </c>
      <c r="N211" s="13" t="s">
        <v>31</v>
      </c>
      <c r="Q211" s="13" t="s">
        <v>20</v>
      </c>
      <c r="R211" s="22">
        <f t="shared" si="112"/>
        <v>0</v>
      </c>
      <c r="V211" s="6"/>
      <c r="W211" s="25"/>
      <c r="X211" s="6"/>
      <c r="Y211" s="6"/>
      <c r="AC211" s="25">
        <f t="shared" si="109"/>
        <v>0</v>
      </c>
      <c r="AE211" s="32"/>
      <c r="AG211" s="25"/>
      <c r="AI211" s="27"/>
      <c r="AJ211" s="20"/>
      <c r="AN211" s="20" t="e">
        <f t="shared" si="99"/>
        <v>#DIV/0!</v>
      </c>
      <c r="AS211" s="25" t="e">
        <f t="shared" si="105"/>
        <v>#DIV/0!</v>
      </c>
      <c r="AT211" s="25"/>
      <c r="AU211" s="25"/>
      <c r="AW211" s="6"/>
      <c r="AX211" s="29">
        <f>0.014629893*1000</f>
        <v>14.629892999999999</v>
      </c>
      <c r="AY211" s="25">
        <f>0.002988809*1000</f>
        <v>2.9888089999999998</v>
      </c>
      <c r="AZ211" s="6"/>
      <c r="BA211" s="18" t="s">
        <v>253</v>
      </c>
    </row>
    <row r="212" spans="1:53">
      <c r="A212" s="17" t="str">
        <f t="shared" si="103"/>
        <v>\cite{Gibon2017}</v>
      </c>
      <c r="B212" s="13" t="s">
        <v>251</v>
      </c>
      <c r="C212" s="13">
        <v>2017</v>
      </c>
      <c r="E212" s="13">
        <f t="shared" si="104"/>
        <v>2017</v>
      </c>
      <c r="F212" s="12">
        <f>LOOKUP(E212,Total_wind_installed_capacity!$A$3:$A$34,Total_wind_installed_capacity!$H$3:$H$34)</f>
        <v>530.78719999999998</v>
      </c>
      <c r="G212" s="18" t="s">
        <v>109</v>
      </c>
      <c r="I212" s="18" t="s">
        <v>224</v>
      </c>
      <c r="J212" s="19"/>
      <c r="K212" s="19"/>
      <c r="L212" s="19"/>
      <c r="M212" s="21" t="s">
        <v>252</v>
      </c>
      <c r="N212" s="13" t="s">
        <v>31</v>
      </c>
      <c r="Q212" s="13" t="s">
        <v>20</v>
      </c>
      <c r="R212" s="22">
        <f t="shared" si="112"/>
        <v>0</v>
      </c>
      <c r="V212" s="6"/>
      <c r="W212" s="25"/>
      <c r="X212" s="6"/>
      <c r="Y212" s="6"/>
      <c r="AC212" s="25">
        <f t="shared" si="109"/>
        <v>0</v>
      </c>
      <c r="AE212" s="32"/>
      <c r="AG212" s="25"/>
      <c r="AI212" s="27"/>
      <c r="AJ212" s="20"/>
      <c r="AN212" s="20" t="e">
        <f t="shared" si="99"/>
        <v>#DIV/0!</v>
      </c>
      <c r="AS212" s="25" t="e">
        <f t="shared" si="105"/>
        <v>#DIV/0!</v>
      </c>
      <c r="AT212" s="25"/>
      <c r="AU212" s="25"/>
      <c r="AW212" s="6"/>
      <c r="AX212" s="29">
        <f>0.014391871*1000</f>
        <v>14.391871</v>
      </c>
      <c r="AY212" s="25">
        <f>0.002904876*1000</f>
        <v>2.9048759999999998</v>
      </c>
      <c r="AZ212" s="6"/>
      <c r="BA212" s="18" t="s">
        <v>254</v>
      </c>
    </row>
    <row r="213" spans="1:53">
      <c r="A213" s="17" t="str">
        <f t="shared" si="103"/>
        <v>\cite{Elginoz2017}</v>
      </c>
      <c r="B213" s="13" t="s">
        <v>255</v>
      </c>
      <c r="C213" s="13">
        <v>2017</v>
      </c>
      <c r="E213" s="13">
        <f t="shared" si="104"/>
        <v>2017</v>
      </c>
      <c r="F213" s="12">
        <f>LOOKUP(E213,Total_wind_installed_capacity!$A$3:$A$34,Total_wind_installed_capacity!$H$3:$H$34)</f>
        <v>530.78719999999998</v>
      </c>
      <c r="G213" s="18" t="s">
        <v>27</v>
      </c>
      <c r="H213" s="13" t="s">
        <v>22</v>
      </c>
      <c r="I213" s="18" t="s">
        <v>224</v>
      </c>
      <c r="J213" s="19">
        <v>5000</v>
      </c>
      <c r="K213" s="19">
        <v>77</v>
      </c>
      <c r="L213" s="19">
        <f t="shared" ref="L213:L226" si="116">J213*K213</f>
        <v>385000</v>
      </c>
      <c r="M213" s="21" t="s">
        <v>256</v>
      </c>
      <c r="N213" s="13" t="s">
        <v>31</v>
      </c>
      <c r="O213" s="13">
        <v>63</v>
      </c>
      <c r="P213" s="13">
        <v>90</v>
      </c>
      <c r="Q213" s="13" t="s">
        <v>35</v>
      </c>
      <c r="R213" s="22">
        <f t="shared" si="112"/>
        <v>0</v>
      </c>
      <c r="V213" s="6"/>
      <c r="W213" s="25"/>
      <c r="X213" s="6"/>
      <c r="Y213" s="6"/>
      <c r="AC213" s="25">
        <f t="shared" si="109"/>
        <v>0</v>
      </c>
      <c r="AE213" s="32">
        <f>AX213*AM213/1000</f>
        <v>308101659.09411103</v>
      </c>
      <c r="AG213" s="25">
        <f t="shared" ref="AG213:AG224" si="117">AE213/L213/1000</f>
        <v>0.80026404959509356</v>
      </c>
      <c r="AI213" s="27">
        <f>AJ213/L213/8760</f>
        <v>0.23046017909031608</v>
      </c>
      <c r="AJ213" s="20">
        <f>777250000</f>
        <v>777250000</v>
      </c>
      <c r="AL213" s="13">
        <v>25</v>
      </c>
      <c r="AM213" s="20">
        <f t="shared" ref="AM213:AM265" si="118">AJ213*AL213</f>
        <v>19431250000</v>
      </c>
      <c r="AN213" s="20">
        <f t="shared" si="99"/>
        <v>50470779.220779225</v>
      </c>
      <c r="AS213" s="25">
        <f t="shared" si="105"/>
        <v>0</v>
      </c>
      <c r="AT213" s="25"/>
      <c r="AU213" s="25"/>
      <c r="AW213" s="6"/>
      <c r="AX213" s="29">
        <f>0.0181*1000*777.25/(110+777.25)</f>
        <v>15.855987602141449</v>
      </c>
      <c r="AY213" s="25"/>
      <c r="AZ213" s="6"/>
      <c r="BA213" s="18" t="s">
        <v>257</v>
      </c>
    </row>
    <row r="214" spans="1:53">
      <c r="A214" s="17" t="str">
        <f t="shared" si="103"/>
        <v>\cite{Elginoz2017}</v>
      </c>
      <c r="B214" s="13" t="s">
        <v>255</v>
      </c>
      <c r="C214" s="13">
        <v>2017</v>
      </c>
      <c r="E214" s="13">
        <f t="shared" si="104"/>
        <v>2017</v>
      </c>
      <c r="F214" s="12">
        <f>LOOKUP(E214,Total_wind_installed_capacity!$A$3:$A$34,Total_wind_installed_capacity!$H$3:$H$34)</f>
        <v>530.78719999999998</v>
      </c>
      <c r="G214" s="18" t="s">
        <v>27</v>
      </c>
      <c r="H214" s="13" t="s">
        <v>22</v>
      </c>
      <c r="I214" s="18" t="s">
        <v>224</v>
      </c>
      <c r="J214" s="19">
        <v>5000</v>
      </c>
      <c r="K214" s="19">
        <v>77</v>
      </c>
      <c r="L214" s="19">
        <f t="shared" si="116"/>
        <v>385000</v>
      </c>
      <c r="M214" s="21" t="s">
        <v>256</v>
      </c>
      <c r="N214" s="13" t="s">
        <v>31</v>
      </c>
      <c r="O214" s="13">
        <v>63</v>
      </c>
      <c r="P214" s="13">
        <v>90</v>
      </c>
      <c r="Q214" s="13" t="s">
        <v>35</v>
      </c>
      <c r="R214" s="22">
        <f t="shared" si="112"/>
        <v>0</v>
      </c>
      <c r="V214" s="6"/>
      <c r="W214" s="25"/>
      <c r="X214" s="6"/>
      <c r="Y214" s="6"/>
      <c r="AC214" s="25">
        <f t="shared" si="109"/>
        <v>0</v>
      </c>
      <c r="AE214" s="32">
        <f>AX214*AM214/1000</f>
        <v>400283750</v>
      </c>
      <c r="AG214" s="25">
        <f t="shared" si="117"/>
        <v>1.0396980519480519</v>
      </c>
      <c r="AI214" s="27">
        <f>AJ214/L214/8760</f>
        <v>0.23046017909031608</v>
      </c>
      <c r="AJ214" s="20">
        <f>777250000</f>
        <v>777250000</v>
      </c>
      <c r="AL214" s="13">
        <v>25</v>
      </c>
      <c r="AM214" s="20">
        <f t="shared" si="118"/>
        <v>19431250000</v>
      </c>
      <c r="AN214" s="20">
        <f t="shared" si="99"/>
        <v>50470779.220779225</v>
      </c>
      <c r="AS214" s="25">
        <f t="shared" si="105"/>
        <v>0</v>
      </c>
      <c r="AT214" s="25"/>
      <c r="AU214" s="25"/>
      <c r="AW214" s="6"/>
      <c r="AX214" s="29">
        <f>0.0206*1000</f>
        <v>20.6</v>
      </c>
      <c r="AY214" s="25"/>
      <c r="AZ214" s="6"/>
      <c r="BA214" s="18" t="s">
        <v>258</v>
      </c>
    </row>
    <row r="215" spans="1:53">
      <c r="A215" s="17" t="str">
        <f t="shared" si="103"/>
        <v>\cite{Martinez2018}</v>
      </c>
      <c r="B215" s="13" t="s">
        <v>121</v>
      </c>
      <c r="C215" s="13">
        <v>2018</v>
      </c>
      <c r="E215" s="13">
        <f t="shared" si="104"/>
        <v>2018</v>
      </c>
      <c r="F215" s="12">
        <f>LOOKUP(E215,Total_wind_installed_capacity!$A$3:$A$34,Total_wind_installed_capacity!$H$3:$H$34)</f>
        <v>580.40440000000001</v>
      </c>
      <c r="G215" s="18" t="s">
        <v>27</v>
      </c>
      <c r="H215" s="13" t="s">
        <v>33</v>
      </c>
      <c r="I215" s="18" t="s">
        <v>259</v>
      </c>
      <c r="J215" s="19">
        <v>2000</v>
      </c>
      <c r="K215" s="19">
        <v>1</v>
      </c>
      <c r="L215" s="19">
        <f t="shared" si="116"/>
        <v>2000</v>
      </c>
      <c r="M215" s="21" t="s">
        <v>260</v>
      </c>
      <c r="N215" s="13" t="s">
        <v>24</v>
      </c>
      <c r="O215" s="13">
        <v>60</v>
      </c>
      <c r="P215" s="13">
        <v>70</v>
      </c>
      <c r="Q215" s="13" t="s">
        <v>35</v>
      </c>
      <c r="R215" s="22">
        <f t="shared" si="112"/>
        <v>0</v>
      </c>
      <c r="V215" s="6"/>
      <c r="W215" s="25"/>
      <c r="X215" s="6"/>
      <c r="Y215" s="6"/>
      <c r="AC215" s="25">
        <f t="shared" si="109"/>
        <v>0</v>
      </c>
      <c r="AE215" s="32">
        <f>AX215*AM215/1000</f>
        <v>526400</v>
      </c>
      <c r="AG215" s="25">
        <f t="shared" si="117"/>
        <v>0.26319999999999999</v>
      </c>
      <c r="AI215" s="27">
        <f>2000/8760</f>
        <v>0.22831050228310501</v>
      </c>
      <c r="AJ215" s="20">
        <f>AI215*8760*L215</f>
        <v>4000000</v>
      </c>
      <c r="AL215" s="13">
        <v>20</v>
      </c>
      <c r="AM215" s="20">
        <f t="shared" si="118"/>
        <v>80000000</v>
      </c>
      <c r="AN215" s="20">
        <f t="shared" si="99"/>
        <v>40000000</v>
      </c>
      <c r="AS215" s="25">
        <f t="shared" si="105"/>
        <v>0</v>
      </c>
      <c r="AT215" s="25"/>
      <c r="AU215" s="25"/>
      <c r="AW215" s="6"/>
      <c r="AX215" s="29">
        <f>0.00658*1000</f>
        <v>6.58</v>
      </c>
      <c r="AY215" s="25"/>
      <c r="AZ215" s="6"/>
    </row>
    <row r="216" spans="1:53">
      <c r="A216" s="17" t="str">
        <f t="shared" si="103"/>
        <v>\cite{Martinez2018}</v>
      </c>
      <c r="B216" s="13" t="s">
        <v>121</v>
      </c>
      <c r="C216" s="13">
        <v>2018</v>
      </c>
      <c r="E216" s="13">
        <f t="shared" si="104"/>
        <v>2018</v>
      </c>
      <c r="F216" s="12">
        <f>LOOKUP(E216,Total_wind_installed_capacity!$A$3:$A$34,Total_wind_installed_capacity!$H$3:$H$34)</f>
        <v>580.40440000000001</v>
      </c>
      <c r="G216" s="18" t="s">
        <v>27</v>
      </c>
      <c r="H216" s="13" t="s">
        <v>22</v>
      </c>
      <c r="I216" s="18" t="s">
        <v>259</v>
      </c>
      <c r="J216" s="19">
        <v>2000</v>
      </c>
      <c r="K216" s="19">
        <v>17</v>
      </c>
      <c r="L216" s="19">
        <f t="shared" si="116"/>
        <v>34000</v>
      </c>
      <c r="M216" s="21" t="s">
        <v>261</v>
      </c>
      <c r="N216" s="13" t="s">
        <v>24</v>
      </c>
      <c r="Q216" s="13" t="s">
        <v>35</v>
      </c>
      <c r="R216" s="22">
        <f t="shared" si="112"/>
        <v>0</v>
      </c>
      <c r="V216" s="6"/>
      <c r="W216" s="25"/>
      <c r="X216" s="6"/>
      <c r="Y216" s="6"/>
      <c r="AC216" s="25">
        <f t="shared" si="109"/>
        <v>0</v>
      </c>
      <c r="AE216" s="32">
        <f>514000+130000+12600000+186000+11700000+53400+27100</f>
        <v>25210500</v>
      </c>
      <c r="AG216" s="25">
        <f t="shared" si="117"/>
        <v>0.74148529411764708</v>
      </c>
      <c r="AI216" s="27">
        <f>AJ216/L216/8760</f>
        <v>0.21139861322509723</v>
      </c>
      <c r="AJ216" s="20">
        <f>AM216/AL216</f>
        <v>62962962.962962963</v>
      </c>
      <c r="AL216" s="13">
        <v>27</v>
      </c>
      <c r="AM216" s="20">
        <f>1700000000</f>
        <v>1700000000</v>
      </c>
      <c r="AN216" s="20">
        <f t="shared" si="99"/>
        <v>50000000</v>
      </c>
      <c r="AS216" s="25">
        <f t="shared" si="105"/>
        <v>0</v>
      </c>
      <c r="AT216" s="25"/>
      <c r="AU216" s="25"/>
      <c r="AW216" s="6"/>
      <c r="AX216" s="29">
        <f>AE216/AM216</f>
        <v>1.4829705882352941E-2</v>
      </c>
      <c r="AY216" s="25"/>
      <c r="AZ216" s="6"/>
      <c r="BA216" s="18" t="s">
        <v>262</v>
      </c>
    </row>
    <row r="217" spans="1:53">
      <c r="A217" s="17" t="str">
        <f t="shared" si="103"/>
        <v>\cite{Martinez2018}</v>
      </c>
      <c r="B217" s="13" t="s">
        <v>121</v>
      </c>
      <c r="C217" s="13">
        <v>2018</v>
      </c>
      <c r="E217" s="13">
        <f t="shared" si="104"/>
        <v>2018</v>
      </c>
      <c r="F217" s="12">
        <f>LOOKUP(E217,Total_wind_installed_capacity!$A$3:$A$34,Total_wind_installed_capacity!$H$3:$H$34)</f>
        <v>580.40440000000001</v>
      </c>
      <c r="G217" s="18" t="s">
        <v>27</v>
      </c>
      <c r="H217" s="13" t="s">
        <v>22</v>
      </c>
      <c r="I217" s="18" t="s">
        <v>259</v>
      </c>
      <c r="J217" s="19">
        <v>660</v>
      </c>
      <c r="K217" s="19">
        <v>37</v>
      </c>
      <c r="L217" s="19">
        <f t="shared" si="116"/>
        <v>24420</v>
      </c>
      <c r="M217" s="21" t="s">
        <v>263</v>
      </c>
      <c r="N217" s="13" t="s">
        <v>24</v>
      </c>
      <c r="Q217" s="13" t="s">
        <v>20</v>
      </c>
      <c r="R217" s="22">
        <f t="shared" si="112"/>
        <v>0</v>
      </c>
      <c r="V217" s="6"/>
      <c r="W217" s="25"/>
      <c r="X217" s="6"/>
      <c r="Y217" s="6"/>
      <c r="AC217" s="25">
        <f t="shared" si="109"/>
        <v>0</v>
      </c>
      <c r="AE217" s="32">
        <f>514000+130000+11700000+53400</f>
        <v>12397400</v>
      </c>
      <c r="AG217" s="25">
        <f t="shared" si="117"/>
        <v>0.50767403767403763</v>
      </c>
      <c r="AI217" s="27">
        <f>AI216</f>
        <v>0.21139861322509723</v>
      </c>
      <c r="AJ217" s="20">
        <f t="shared" ref="AJ217:AJ223" si="119">AI217*8760*L217</f>
        <v>45222222.222222216</v>
      </c>
      <c r="AL217" s="13">
        <v>20</v>
      </c>
      <c r="AM217" s="20">
        <f t="shared" si="118"/>
        <v>904444444.4444443</v>
      </c>
      <c r="AN217" s="20">
        <f t="shared" si="99"/>
        <v>37037037.03703703</v>
      </c>
      <c r="AS217" s="25">
        <f t="shared" si="105"/>
        <v>0</v>
      </c>
      <c r="AT217" s="25"/>
      <c r="AU217" s="25"/>
      <c r="AW217" s="6"/>
      <c r="AX217" s="29">
        <f>AE217/AM217</f>
        <v>1.370719901719902E-2</v>
      </c>
      <c r="AY217" s="25"/>
      <c r="AZ217" s="6"/>
      <c r="BA217" s="18" t="s">
        <v>264</v>
      </c>
    </row>
    <row r="218" spans="1:53">
      <c r="A218" s="17" t="str">
        <f t="shared" si="103"/>
        <v>\cite{Martinez2018}</v>
      </c>
      <c r="B218" s="13" t="s">
        <v>121</v>
      </c>
      <c r="C218" s="13">
        <v>2018</v>
      </c>
      <c r="E218" s="13">
        <f t="shared" si="104"/>
        <v>2018</v>
      </c>
      <c r="F218" s="12">
        <f>LOOKUP(E218,Total_wind_installed_capacity!$A$3:$A$34,Total_wind_installed_capacity!$H$3:$H$34)</f>
        <v>580.40440000000001</v>
      </c>
      <c r="G218" s="18" t="s">
        <v>27</v>
      </c>
      <c r="H218" s="13" t="s">
        <v>22</v>
      </c>
      <c r="I218" s="18" t="s">
        <v>259</v>
      </c>
      <c r="J218" s="19">
        <v>2000</v>
      </c>
      <c r="K218" s="19">
        <v>17</v>
      </c>
      <c r="L218" s="19">
        <f t="shared" si="116"/>
        <v>34000</v>
      </c>
      <c r="M218" s="21" t="s">
        <v>261</v>
      </c>
      <c r="N218" s="13" t="s">
        <v>24</v>
      </c>
      <c r="Q218" s="13" t="s">
        <v>35</v>
      </c>
      <c r="R218" s="22">
        <f t="shared" si="112"/>
        <v>0</v>
      </c>
      <c r="V218" s="6"/>
      <c r="W218" s="25"/>
      <c r="X218" s="6"/>
      <c r="Y218" s="6"/>
      <c r="AC218" s="25">
        <f t="shared" si="109"/>
        <v>0</v>
      </c>
      <c r="AE218" s="32">
        <f>514000+12600000+186000+27100</f>
        <v>13327100</v>
      </c>
      <c r="AG218" s="25">
        <f t="shared" si="117"/>
        <v>0.39197352941176472</v>
      </c>
      <c r="AI218" s="27">
        <f>AI217</f>
        <v>0.21139861322509723</v>
      </c>
      <c r="AJ218" s="20">
        <f t="shared" si="119"/>
        <v>62962962.962962955</v>
      </c>
      <c r="AL218" s="13">
        <v>20</v>
      </c>
      <c r="AM218" s="20">
        <f t="shared" si="118"/>
        <v>1259259259.2592592</v>
      </c>
      <c r="AN218" s="20">
        <f t="shared" si="99"/>
        <v>37037037.037037037</v>
      </c>
      <c r="AS218" s="25">
        <f t="shared" si="105"/>
        <v>0</v>
      </c>
      <c r="AT218" s="25"/>
      <c r="AU218" s="25"/>
      <c r="AW218" s="6"/>
      <c r="AX218" s="29">
        <f>AE218/AM218</f>
        <v>1.0583285294117648E-2</v>
      </c>
      <c r="AY218" s="25"/>
      <c r="AZ218" s="6"/>
      <c r="BA218" s="18" t="s">
        <v>264</v>
      </c>
    </row>
    <row r="219" spans="1:53">
      <c r="A219" s="17" t="str">
        <f t="shared" si="103"/>
        <v>\cite{Oebels2013}</v>
      </c>
      <c r="B219" s="13" t="s">
        <v>265</v>
      </c>
      <c r="C219" s="13">
        <v>2013</v>
      </c>
      <c r="E219" s="13">
        <f t="shared" si="104"/>
        <v>2013</v>
      </c>
      <c r="F219" s="12">
        <f>LOOKUP(E219,Total_wind_installed_capacity!$A$3:$A$34,Total_wind_installed_capacity!$H$3:$H$34)</f>
        <v>310.36672750000002</v>
      </c>
      <c r="G219" s="18" t="s">
        <v>27</v>
      </c>
      <c r="H219" s="13" t="s">
        <v>267</v>
      </c>
      <c r="I219" s="18" t="s">
        <v>266</v>
      </c>
      <c r="J219" s="19">
        <v>1500</v>
      </c>
      <c r="K219" s="19">
        <v>14</v>
      </c>
      <c r="L219" s="19">
        <f t="shared" si="116"/>
        <v>21000</v>
      </c>
      <c r="N219" s="13" t="s">
        <v>24</v>
      </c>
      <c r="Q219" s="13" t="s">
        <v>35</v>
      </c>
      <c r="R219" s="22">
        <f t="shared" si="112"/>
        <v>0</v>
      </c>
      <c r="V219" s="6"/>
      <c r="W219" s="25"/>
      <c r="X219" s="6"/>
      <c r="Y219" s="6"/>
      <c r="AC219" s="25">
        <f t="shared" si="109"/>
        <v>0</v>
      </c>
      <c r="AE219" s="32">
        <f t="shared" ref="AE219:AE224" si="120">AX219*AM219/1000</f>
        <v>8946000</v>
      </c>
      <c r="AG219" s="25">
        <f t="shared" si="117"/>
        <v>0.42599999999999999</v>
      </c>
      <c r="AI219" s="27">
        <f>3000/8760</f>
        <v>0.34246575342465752</v>
      </c>
      <c r="AJ219" s="20">
        <f t="shared" si="119"/>
        <v>63000000</v>
      </c>
      <c r="AL219" s="13">
        <v>20</v>
      </c>
      <c r="AM219" s="20">
        <f t="shared" si="118"/>
        <v>1260000000</v>
      </c>
      <c r="AN219" s="20">
        <f t="shared" si="99"/>
        <v>60000000</v>
      </c>
      <c r="AS219" s="25">
        <f t="shared" si="105"/>
        <v>0</v>
      </c>
      <c r="AT219" s="25"/>
      <c r="AU219" s="25"/>
      <c r="AW219" s="6"/>
      <c r="AX219" s="29">
        <v>7.1</v>
      </c>
      <c r="AY219" s="25"/>
      <c r="AZ219" s="6"/>
    </row>
    <row r="220" spans="1:53">
      <c r="A220" s="17" t="str">
        <f t="shared" si="103"/>
        <v>\cite{Wang2012}</v>
      </c>
      <c r="B220" s="13" t="s">
        <v>26</v>
      </c>
      <c r="C220" s="13">
        <v>2012</v>
      </c>
      <c r="E220" s="13">
        <f t="shared" si="104"/>
        <v>2012</v>
      </c>
      <c r="F220" s="12">
        <f>LOOKUP(E220,Total_wind_installed_capacity!$A$3:$A$34,Total_wind_installed_capacity!$H$3:$H$34)</f>
        <v>270.84683750000005</v>
      </c>
      <c r="G220" s="18" t="s">
        <v>27</v>
      </c>
      <c r="H220" s="13" t="s">
        <v>33</v>
      </c>
      <c r="I220" s="18" t="s">
        <v>19</v>
      </c>
      <c r="J220" s="19">
        <v>1650</v>
      </c>
      <c r="K220" s="19">
        <v>186</v>
      </c>
      <c r="L220" s="19">
        <f t="shared" si="116"/>
        <v>306900</v>
      </c>
      <c r="M220" s="21" t="s">
        <v>268</v>
      </c>
      <c r="N220" s="13" t="s">
        <v>24</v>
      </c>
      <c r="Q220" s="13" t="s">
        <v>20</v>
      </c>
      <c r="R220" s="22">
        <f t="shared" si="112"/>
        <v>0</v>
      </c>
      <c r="V220" s="6"/>
      <c r="W220" s="25"/>
      <c r="X220" s="6"/>
      <c r="Y220" s="6"/>
      <c r="AC220" s="25">
        <f t="shared" si="109"/>
        <v>0</v>
      </c>
      <c r="AE220" s="32">
        <f t="shared" si="120"/>
        <v>179667099.45360002</v>
      </c>
      <c r="AG220" s="25">
        <f t="shared" si="117"/>
        <v>0.58542554400000002</v>
      </c>
      <c r="AI220" s="27">
        <v>0.40699999999999997</v>
      </c>
      <c r="AJ220" s="20">
        <f t="shared" si="119"/>
        <v>1094196708</v>
      </c>
      <c r="AL220" s="13">
        <v>20</v>
      </c>
      <c r="AM220" s="20">
        <f t="shared" si="118"/>
        <v>21883934160</v>
      </c>
      <c r="AN220" s="20">
        <f t="shared" si="99"/>
        <v>71306400</v>
      </c>
      <c r="AS220" s="25">
        <f t="shared" si="105"/>
        <v>0</v>
      </c>
      <c r="AT220" s="25"/>
      <c r="AU220" s="25"/>
      <c r="AW220" s="6"/>
      <c r="AX220" s="29">
        <v>8.2100000000000009</v>
      </c>
      <c r="AY220" s="25"/>
      <c r="AZ220" s="6"/>
    </row>
    <row r="221" spans="1:53">
      <c r="A221" s="17" t="str">
        <f t="shared" si="103"/>
        <v>\cite{Wang2012}</v>
      </c>
      <c r="B221" s="13" t="s">
        <v>26</v>
      </c>
      <c r="C221" s="13">
        <v>2012</v>
      </c>
      <c r="E221" s="13">
        <f t="shared" si="104"/>
        <v>2012</v>
      </c>
      <c r="F221" s="12">
        <f>LOOKUP(E221,Total_wind_installed_capacity!$A$3:$A$34,Total_wind_installed_capacity!$H$3:$H$34)</f>
        <v>270.84683750000005</v>
      </c>
      <c r="G221" s="18" t="s">
        <v>27</v>
      </c>
      <c r="H221" s="13" t="s">
        <v>33</v>
      </c>
      <c r="I221" s="18" t="s">
        <v>19</v>
      </c>
      <c r="J221" s="19">
        <v>3000</v>
      </c>
      <c r="K221" s="19">
        <v>100</v>
      </c>
      <c r="L221" s="19">
        <f t="shared" si="116"/>
        <v>300000</v>
      </c>
      <c r="M221" s="21" t="s">
        <v>269</v>
      </c>
      <c r="N221" s="13" t="s">
        <v>31</v>
      </c>
      <c r="Q221" s="13" t="s">
        <v>20</v>
      </c>
      <c r="R221" s="22">
        <f t="shared" si="112"/>
        <v>0</v>
      </c>
      <c r="V221" s="6"/>
      <c r="W221" s="25"/>
      <c r="X221" s="6"/>
      <c r="Y221" s="6"/>
      <c r="AC221" s="25">
        <f t="shared" si="109"/>
        <v>0</v>
      </c>
      <c r="AE221" s="32">
        <f t="shared" si="120"/>
        <v>170229646.08000001</v>
      </c>
      <c r="AG221" s="25">
        <f t="shared" si="117"/>
        <v>0.56743215359999999</v>
      </c>
      <c r="AI221" s="27">
        <v>0.54159999999999997</v>
      </c>
      <c r="AJ221" s="20">
        <f t="shared" si="119"/>
        <v>1423324800</v>
      </c>
      <c r="AL221" s="13">
        <v>20</v>
      </c>
      <c r="AM221" s="20">
        <f t="shared" si="118"/>
        <v>28466496000</v>
      </c>
      <c r="AN221" s="20">
        <f t="shared" si="99"/>
        <v>94888320</v>
      </c>
      <c r="AS221" s="25">
        <f t="shared" si="105"/>
        <v>0</v>
      </c>
      <c r="AT221" s="25"/>
      <c r="AU221" s="25"/>
      <c r="AW221" s="6"/>
      <c r="AX221" s="29">
        <v>5.98</v>
      </c>
      <c r="AY221" s="25"/>
      <c r="AZ221" s="6"/>
    </row>
    <row r="222" spans="1:53">
      <c r="A222" s="17" t="str">
        <f t="shared" si="103"/>
        <v>\cite{Wang2012}</v>
      </c>
      <c r="B222" s="13" t="s">
        <v>26</v>
      </c>
      <c r="C222" s="13">
        <v>2012</v>
      </c>
      <c r="E222" s="13">
        <f t="shared" si="104"/>
        <v>2012</v>
      </c>
      <c r="F222" s="12">
        <f>LOOKUP(E222,Total_wind_installed_capacity!$A$3:$A$34,Total_wind_installed_capacity!$H$3:$H$34)</f>
        <v>270.84683750000005</v>
      </c>
      <c r="G222" s="18" t="s">
        <v>27</v>
      </c>
      <c r="H222" s="13" t="s">
        <v>33</v>
      </c>
      <c r="I222" s="18" t="s">
        <v>19</v>
      </c>
      <c r="J222" s="19">
        <v>3000</v>
      </c>
      <c r="K222" s="19">
        <v>100</v>
      </c>
      <c r="L222" s="19">
        <f t="shared" si="116"/>
        <v>300000</v>
      </c>
      <c r="M222" s="21" t="s">
        <v>269</v>
      </c>
      <c r="N222" s="13" t="s">
        <v>24</v>
      </c>
      <c r="Q222" s="13" t="s">
        <v>20</v>
      </c>
      <c r="R222" s="22">
        <f t="shared" si="112"/>
        <v>0</v>
      </c>
      <c r="V222" s="6"/>
      <c r="W222" s="25"/>
      <c r="X222" s="6"/>
      <c r="Y222" s="6"/>
      <c r="AC222" s="25">
        <f t="shared" si="109"/>
        <v>0</v>
      </c>
      <c r="AE222" s="32">
        <f t="shared" si="120"/>
        <v>78419204.640000001</v>
      </c>
      <c r="AG222" s="25">
        <f t="shared" si="117"/>
        <v>0.26139734879999998</v>
      </c>
      <c r="AI222" s="27">
        <v>0.30020000000000002</v>
      </c>
      <c r="AJ222" s="20">
        <f t="shared" si="119"/>
        <v>788925600.00000012</v>
      </c>
      <c r="AL222" s="13">
        <v>20</v>
      </c>
      <c r="AM222" s="20">
        <f t="shared" si="118"/>
        <v>15778512000.000002</v>
      </c>
      <c r="AN222" s="20">
        <f t="shared" si="99"/>
        <v>52595040.000000007</v>
      </c>
      <c r="AS222" s="25">
        <f t="shared" si="105"/>
        <v>0</v>
      </c>
      <c r="AT222" s="25"/>
      <c r="AU222" s="25"/>
      <c r="AW222" s="6"/>
      <c r="AX222" s="29">
        <v>4.97</v>
      </c>
      <c r="AY222" s="25"/>
      <c r="AZ222" s="6"/>
    </row>
    <row r="223" spans="1:53">
      <c r="A223" s="17" t="str">
        <f t="shared" si="103"/>
        <v>\cite{Wang2012}</v>
      </c>
      <c r="B223" s="13" t="s">
        <v>26</v>
      </c>
      <c r="C223" s="13">
        <v>2012</v>
      </c>
      <c r="E223" s="13">
        <f t="shared" si="104"/>
        <v>2012</v>
      </c>
      <c r="F223" s="12">
        <f>LOOKUP(E223,Total_wind_installed_capacity!$A$3:$A$34,Total_wind_installed_capacity!$H$3:$H$34)</f>
        <v>270.84683750000005</v>
      </c>
      <c r="G223" s="18" t="s">
        <v>27</v>
      </c>
      <c r="H223" s="13" t="s">
        <v>33</v>
      </c>
      <c r="I223" s="18" t="s">
        <v>19</v>
      </c>
      <c r="J223" s="19">
        <v>850</v>
      </c>
      <c r="K223" s="19">
        <v>116</v>
      </c>
      <c r="L223" s="19">
        <f t="shared" si="116"/>
        <v>98600</v>
      </c>
      <c r="M223" s="21" t="s">
        <v>270</v>
      </c>
      <c r="N223" s="13" t="s">
        <v>24</v>
      </c>
      <c r="Q223" s="13" t="s">
        <v>20</v>
      </c>
      <c r="R223" s="22">
        <f t="shared" si="112"/>
        <v>0</v>
      </c>
      <c r="V223" s="6"/>
      <c r="W223" s="25"/>
      <c r="X223" s="6"/>
      <c r="Y223" s="6"/>
      <c r="AC223" s="25">
        <f t="shared" si="109"/>
        <v>0</v>
      </c>
      <c r="AE223" s="32">
        <f t="shared" si="120"/>
        <v>0</v>
      </c>
      <c r="AG223" s="25">
        <f t="shared" si="117"/>
        <v>0</v>
      </c>
      <c r="AI223" s="27">
        <v>0.23</v>
      </c>
      <c r="AJ223" s="20">
        <f t="shared" si="119"/>
        <v>198659280.00000003</v>
      </c>
      <c r="AL223" s="13">
        <v>20</v>
      </c>
      <c r="AM223" s="20">
        <f t="shared" si="118"/>
        <v>3973185600.0000005</v>
      </c>
      <c r="AN223" s="20">
        <f t="shared" si="99"/>
        <v>40296000.000000007</v>
      </c>
      <c r="AS223" s="25">
        <f t="shared" si="105"/>
        <v>0</v>
      </c>
      <c r="AT223" s="25"/>
      <c r="AU223" s="25"/>
      <c r="AW223" s="6"/>
      <c r="AX223" s="29"/>
      <c r="AY223" s="25"/>
      <c r="AZ223" s="6"/>
    </row>
    <row r="224" spans="1:53">
      <c r="A224" s="17" t="str">
        <f t="shared" si="103"/>
        <v>\cite{Al-Behadili2015}</v>
      </c>
      <c r="B224" s="13" t="s">
        <v>271</v>
      </c>
      <c r="C224" s="13">
        <v>2015</v>
      </c>
      <c r="E224" s="13">
        <f t="shared" si="104"/>
        <v>2015</v>
      </c>
      <c r="F224" s="12">
        <f>LOOKUP(E224,Total_wind_installed_capacity!$A$3:$A$34,Total_wind_installed_capacity!$H$3:$H$34)</f>
        <v>427.65899999999999</v>
      </c>
      <c r="G224" s="18" t="s">
        <v>27</v>
      </c>
      <c r="H224" s="13" t="s">
        <v>33</v>
      </c>
      <c r="I224" s="18" t="s">
        <v>272</v>
      </c>
      <c r="J224" s="19">
        <v>1650</v>
      </c>
      <c r="K224" s="19">
        <v>37</v>
      </c>
      <c r="L224" s="19">
        <f t="shared" si="116"/>
        <v>61050</v>
      </c>
      <c r="Q224" s="52" t="s">
        <v>20</v>
      </c>
      <c r="R224" s="53">
        <f t="shared" si="112"/>
        <v>387997200</v>
      </c>
      <c r="T224" s="23">
        <f>107777*1000</f>
        <v>107777000</v>
      </c>
      <c r="V224" s="6">
        <f>R224/$L224/1000</f>
        <v>6.3554004914004913</v>
      </c>
      <c r="W224" s="25"/>
      <c r="X224" s="6">
        <f>V224/3.6</f>
        <v>1.7653890253890254</v>
      </c>
      <c r="Y224" s="6"/>
      <c r="AA224" s="24">
        <f t="shared" ref="AA224:AA235" si="121">R224/3.6/100*IF($Z224&gt;0,$Z224,30)</f>
        <v>32333100</v>
      </c>
      <c r="AC224" s="25">
        <f t="shared" si="109"/>
        <v>7.1307809364179698E-3</v>
      </c>
      <c r="AE224" s="32">
        <f t="shared" si="120"/>
        <v>47445023.943469994</v>
      </c>
      <c r="AG224" s="25">
        <f t="shared" si="117"/>
        <v>0.77715026934430786</v>
      </c>
      <c r="AI224" s="27">
        <f>AJ224/L224/8760</f>
        <v>0.42392641707710199</v>
      </c>
      <c r="AJ224" s="20">
        <f>226715*1000</f>
        <v>226715000</v>
      </c>
      <c r="AL224" s="13">
        <v>20</v>
      </c>
      <c r="AM224" s="20">
        <f t="shared" si="118"/>
        <v>4534300000</v>
      </c>
      <c r="AN224" s="20">
        <f t="shared" ref="AN224:AN255" si="122">AM224/L224*1000</f>
        <v>74271908.271908268</v>
      </c>
      <c r="AS224" s="25">
        <f t="shared" si="105"/>
        <v>8.5569371237015635E-2</v>
      </c>
      <c r="AT224" s="25"/>
      <c r="AU224" s="25">
        <f>T224/$AM224</f>
        <v>2.3769269788059898E-2</v>
      </c>
      <c r="AW224" s="6"/>
      <c r="AX224" s="29">
        <f>10.420169+29.8*0.0001065+273*0.0001474</f>
        <v>10.463582899999999</v>
      </c>
      <c r="AY224" s="25">
        <f>11*0.0001065+130*0.0001474</f>
        <v>2.0333500000000001E-2</v>
      </c>
      <c r="AZ224" s="6"/>
    </row>
    <row r="225" spans="1:53">
      <c r="A225" s="17" t="str">
        <f t="shared" si="103"/>
        <v>\cite{Garcia-Teruel2022}</v>
      </c>
      <c r="B225" s="13" t="s">
        <v>273</v>
      </c>
      <c r="C225" s="13">
        <v>2022</v>
      </c>
      <c r="E225" s="13">
        <f t="shared" si="104"/>
        <v>2022</v>
      </c>
      <c r="F225" s="12">
        <f>LOOKUP(E225,Total_wind_installed_capacity!$A$3:$A$34,Total_wind_installed_capacity!$H$3:$H$34)</f>
        <v>741.39724999999999</v>
      </c>
      <c r="G225" s="18" t="s">
        <v>27</v>
      </c>
      <c r="H225" s="13" t="s">
        <v>33</v>
      </c>
      <c r="I225" s="18" t="s">
        <v>30</v>
      </c>
      <c r="J225" s="19">
        <v>6000</v>
      </c>
      <c r="K225" s="19">
        <v>5</v>
      </c>
      <c r="L225" s="19">
        <f t="shared" si="116"/>
        <v>30000</v>
      </c>
      <c r="M225" s="21" t="s">
        <v>274</v>
      </c>
      <c r="N225" s="13" t="s">
        <v>31</v>
      </c>
      <c r="Q225" s="52" t="s">
        <v>20</v>
      </c>
      <c r="R225" s="53">
        <f>AS225*$AM225</f>
        <v>1749725290.7999995</v>
      </c>
      <c r="S225" s="53">
        <f>AT225*$AM225</f>
        <v>240072727.49999994</v>
      </c>
      <c r="T225" s="23">
        <f t="shared" ref="T225:U226" si="123">R225/3.6</f>
        <v>486034802.99999982</v>
      </c>
      <c r="U225" s="23">
        <f t="shared" si="123"/>
        <v>66686868.749999985</v>
      </c>
      <c r="V225" s="6">
        <f t="shared" ref="V225:V295" si="124">R225/$L225/1000</f>
        <v>58.324176359999981</v>
      </c>
      <c r="W225" s="25"/>
      <c r="X225" s="6">
        <f t="shared" ref="X225:X233" si="125">V225/3.6</f>
        <v>16.201160099999996</v>
      </c>
      <c r="Y225" s="6"/>
      <c r="AA225" s="24">
        <f t="shared" si="121"/>
        <v>145810440.89999995</v>
      </c>
      <c r="AB225" s="24">
        <f>S225/3.6/100*IF($Z225&gt;0,$Z225,30)</f>
        <v>20006060.624999996</v>
      </c>
      <c r="AC225" s="25">
        <f t="shared" si="109"/>
        <v>4.4564999999999994E-2</v>
      </c>
      <c r="AE225" s="32">
        <f>AX225*$AM225/1000</f>
        <v>127569821.39999999</v>
      </c>
      <c r="AF225" s="20">
        <f>AY225*$AM225/1000</f>
        <v>13136517.9</v>
      </c>
      <c r="AG225" s="25">
        <f>AE225/$L225/1000</f>
        <v>4.2523273799999997</v>
      </c>
      <c r="AH225" s="25">
        <f>AF225/$L225/1000</f>
        <v>0.43788393000000003</v>
      </c>
      <c r="AI225" s="27">
        <f>AVERAGE(50.2,49.4)/100</f>
        <v>0.498</v>
      </c>
      <c r="AJ225" s="20">
        <f>AI225*8760*L225</f>
        <v>130874399.99999999</v>
      </c>
      <c r="AL225" s="13">
        <v>25</v>
      </c>
      <c r="AM225" s="20">
        <f t="shared" si="118"/>
        <v>3271859999.9999995</v>
      </c>
      <c r="AN225" s="20">
        <f t="shared" si="122"/>
        <v>109061999.99999999</v>
      </c>
      <c r="AS225" s="25">
        <f>534.78/1000</f>
        <v>0.53477999999999992</v>
      </c>
      <c r="AT225" s="25">
        <f>(617.48-470.73)/2/1000</f>
        <v>7.3374999999999996E-2</v>
      </c>
      <c r="AU225" s="25">
        <f>T225/$AM225</f>
        <v>0.14854999999999996</v>
      </c>
      <c r="AV225" s="25">
        <f>U225/$AM225</f>
        <v>2.0381944444444442E-2</v>
      </c>
      <c r="AW225" s="6"/>
      <c r="AX225" s="29">
        <f>38.99</f>
        <v>38.99</v>
      </c>
      <c r="AY225" s="25">
        <f>(43.99-35.96)/2</f>
        <v>4.0150000000000006</v>
      </c>
      <c r="AZ225" s="6"/>
      <c r="BA225" s="18" t="s">
        <v>275</v>
      </c>
    </row>
    <row r="226" spans="1:53">
      <c r="A226" s="17" t="str">
        <f t="shared" si="103"/>
        <v>\cite{Garcia-Teruel2022}</v>
      </c>
      <c r="B226" s="13" t="s">
        <v>273</v>
      </c>
      <c r="C226" s="13">
        <v>2022</v>
      </c>
      <c r="E226" s="13">
        <f t="shared" si="104"/>
        <v>2022</v>
      </c>
      <c r="F226" s="12">
        <f>LOOKUP(E226,Total_wind_installed_capacity!$A$3:$A$34,Total_wind_installed_capacity!$H$3:$H$34)</f>
        <v>741.39724999999999</v>
      </c>
      <c r="G226" s="18" t="s">
        <v>27</v>
      </c>
      <c r="H226" s="13" t="s">
        <v>33</v>
      </c>
      <c r="I226" s="18" t="s">
        <v>30</v>
      </c>
      <c r="J226" s="19">
        <v>9500</v>
      </c>
      <c r="K226" s="19">
        <v>5</v>
      </c>
      <c r="L226" s="19">
        <f t="shared" si="116"/>
        <v>47500</v>
      </c>
      <c r="M226" s="21" t="s">
        <v>276</v>
      </c>
      <c r="N226" s="13" t="s">
        <v>31</v>
      </c>
      <c r="Q226" s="52" t="s">
        <v>20</v>
      </c>
      <c r="R226" s="53">
        <f>AS226*$AM226</f>
        <v>1909689909.7500005</v>
      </c>
      <c r="S226" s="53">
        <f>AT226*$AM226</f>
        <v>265368451.1625002</v>
      </c>
      <c r="T226" s="23">
        <f t="shared" si="123"/>
        <v>530469419.37500012</v>
      </c>
      <c r="U226" s="23">
        <f t="shared" si="123"/>
        <v>73713458.65625006</v>
      </c>
      <c r="V226" s="6">
        <f t="shared" si="124"/>
        <v>40.203998100000014</v>
      </c>
      <c r="W226" s="25"/>
      <c r="X226" s="6">
        <f t="shared" si="125"/>
        <v>11.167777250000004</v>
      </c>
      <c r="Y226" s="6"/>
      <c r="AA226" s="24">
        <f t="shared" si="121"/>
        <v>159140825.81250006</v>
      </c>
      <c r="AB226" s="24">
        <f>S226/3.6/100*IF($Z226&gt;0,$Z226,30)</f>
        <v>22114037.596875016</v>
      </c>
      <c r="AC226" s="25">
        <f t="shared" si="109"/>
        <v>3.834166666666667E-2</v>
      </c>
      <c r="AE226" s="32">
        <f>AX226*$AM226/1000</f>
        <v>140331701.47500002</v>
      </c>
      <c r="AF226" s="20">
        <f>AY226*$AM226/1000</f>
        <v>13053629.137500001</v>
      </c>
      <c r="AG226" s="25">
        <f>AE226/$L226/1000</f>
        <v>2.9543516100000007</v>
      </c>
      <c r="AH226" s="25">
        <f>AF226/$L226/1000</f>
        <v>0.27481324500000004</v>
      </c>
      <c r="AI226" s="27">
        <f>AVERAGE(40.2,39.6)/100</f>
        <v>0.39900000000000008</v>
      </c>
      <c r="AJ226" s="20">
        <f>AI226*8760*L226</f>
        <v>166023900.00000003</v>
      </c>
      <c r="AL226" s="13">
        <v>25</v>
      </c>
      <c r="AM226" s="20">
        <f t="shared" si="118"/>
        <v>4150597500.000001</v>
      </c>
      <c r="AN226" s="20">
        <f t="shared" si="122"/>
        <v>87381000.000000015</v>
      </c>
      <c r="AS226" s="25">
        <f>460.1/1000</f>
        <v>0.46010000000000001</v>
      </c>
      <c r="AT226" s="25">
        <f>(532.21-404.34)/2/1000</f>
        <v>6.3935000000000033E-2</v>
      </c>
      <c r="AU226" s="25">
        <f>T226/$AM226</f>
        <v>0.12780555555555556</v>
      </c>
      <c r="AV226" s="25">
        <f>U226/$AM226</f>
        <v>1.7759722222222232E-2</v>
      </c>
      <c r="AW226" s="6"/>
      <c r="AX226" s="29">
        <v>33.81</v>
      </c>
      <c r="AY226" s="25">
        <f>(37.37-31.08)/2</f>
        <v>3.1449999999999996</v>
      </c>
      <c r="AZ226" s="6"/>
      <c r="BA226" s="18" t="s">
        <v>277</v>
      </c>
    </row>
    <row r="227" spans="1:53">
      <c r="A227" s="17" t="str">
        <f t="shared" si="103"/>
        <v>\cite{Xu2018}</v>
      </c>
      <c r="B227" s="13" t="s">
        <v>278</v>
      </c>
      <c r="C227" s="13">
        <v>2018</v>
      </c>
      <c r="E227" s="13">
        <f t="shared" si="104"/>
        <v>2018</v>
      </c>
      <c r="F227" s="12">
        <f>LOOKUP(E227,Total_wind_installed_capacity!$A$3:$A$34,Total_wind_installed_capacity!$H$3:$H$34)</f>
        <v>580.40440000000001</v>
      </c>
      <c r="G227" s="18" t="s">
        <v>27</v>
      </c>
      <c r="H227" s="13" t="s">
        <v>33</v>
      </c>
      <c r="I227" s="18" t="s">
        <v>19</v>
      </c>
      <c r="J227" s="19"/>
      <c r="K227" s="19"/>
      <c r="L227" s="19">
        <v>49500</v>
      </c>
      <c r="M227" s="21" t="s">
        <v>279</v>
      </c>
      <c r="N227" s="13" t="s">
        <v>24</v>
      </c>
      <c r="Q227" s="52" t="s">
        <v>20</v>
      </c>
      <c r="R227" s="53">
        <f t="shared" si="112"/>
        <v>0</v>
      </c>
      <c r="V227" s="6">
        <f t="shared" si="124"/>
        <v>0</v>
      </c>
      <c r="W227" s="25"/>
      <c r="X227" s="6">
        <f t="shared" si="125"/>
        <v>0</v>
      </c>
      <c r="Y227" s="6"/>
      <c r="AA227" s="24">
        <f t="shared" si="121"/>
        <v>0</v>
      </c>
      <c r="AC227" s="25">
        <f t="shared" si="109"/>
        <v>0</v>
      </c>
      <c r="AE227" s="32">
        <f>AX227*AM227/1000</f>
        <v>22507300</v>
      </c>
      <c r="AG227" s="25">
        <f t="shared" ref="AG227:AG269" si="126">AE227/$L227/1000</f>
        <v>0.45469292929292932</v>
      </c>
      <c r="AI227" s="27">
        <f t="shared" ref="AI227:AI265" si="127">AJ227/L227/8760</f>
        <v>0.3000322863336562</v>
      </c>
      <c r="AJ227" s="20">
        <f>130100000</f>
        <v>130100000</v>
      </c>
      <c r="AL227" s="13">
        <v>20</v>
      </c>
      <c r="AM227" s="20">
        <f t="shared" si="118"/>
        <v>2602000000</v>
      </c>
      <c r="AN227" s="20">
        <f t="shared" si="122"/>
        <v>52565656.565656565</v>
      </c>
      <c r="AS227" s="25">
        <f t="shared" si="105"/>
        <v>0</v>
      </c>
      <c r="AT227" s="25"/>
      <c r="AU227" s="25"/>
      <c r="AW227" s="6"/>
      <c r="AX227" s="54">
        <f>0.00865*1000</f>
        <v>8.65</v>
      </c>
      <c r="AZ227" s="6"/>
    </row>
    <row r="228" spans="1:53" s="35" customFormat="1">
      <c r="A228" s="17" t="str">
        <f t="shared" si="103"/>
        <v>\cite{Wang2019}</v>
      </c>
      <c r="B228" s="35" t="s">
        <v>26</v>
      </c>
      <c r="C228" s="35">
        <v>2019</v>
      </c>
      <c r="E228" s="13">
        <f t="shared" si="104"/>
        <v>2019</v>
      </c>
      <c r="F228" s="12">
        <f>LOOKUP(E228,Total_wind_installed_capacity!$A$3:$A$34,Total_wind_installed_capacity!$H$3:$H$34)</f>
        <v>643.43574999999998</v>
      </c>
      <c r="G228" s="36" t="s">
        <v>27</v>
      </c>
      <c r="H228" s="35" t="s">
        <v>33</v>
      </c>
      <c r="I228" s="36"/>
      <c r="J228" s="37">
        <v>2000</v>
      </c>
      <c r="K228" s="37">
        <v>1</v>
      </c>
      <c r="L228" s="37">
        <v>2000</v>
      </c>
      <c r="M228" s="38"/>
      <c r="N228" s="35" t="s">
        <v>24</v>
      </c>
      <c r="Q228" s="55" t="s">
        <v>35</v>
      </c>
      <c r="R228" s="39">
        <f t="shared" si="112"/>
        <v>0</v>
      </c>
      <c r="V228" s="45">
        <f t="shared" si="124"/>
        <v>0</v>
      </c>
      <c r="W228" s="41"/>
      <c r="X228" s="45">
        <f t="shared" si="125"/>
        <v>0</v>
      </c>
      <c r="Y228" s="45"/>
      <c r="AA228" s="56">
        <f t="shared" si="121"/>
        <v>0</v>
      </c>
      <c r="AC228" s="41">
        <f t="shared" si="109"/>
        <v>0</v>
      </c>
      <c r="AE228" s="42">
        <f>33278.19*1000</f>
        <v>33278190.000000004</v>
      </c>
      <c r="AG228" s="41">
        <f>AE228/$L228/1000</f>
        <v>16.639095000000001</v>
      </c>
      <c r="AI228" s="43">
        <f t="shared" si="127"/>
        <v>0.32157534246575342</v>
      </c>
      <c r="AJ228" s="37">
        <f>5634*1000</f>
        <v>5634000</v>
      </c>
      <c r="AK228" s="44"/>
      <c r="AL228" s="35">
        <v>20</v>
      </c>
      <c r="AM228" s="37">
        <f t="shared" si="118"/>
        <v>112680000</v>
      </c>
      <c r="AN228" s="37">
        <f t="shared" si="122"/>
        <v>56340000</v>
      </c>
      <c r="AO228" s="36"/>
      <c r="AS228" s="41">
        <f t="shared" si="105"/>
        <v>0</v>
      </c>
      <c r="AT228" s="41"/>
      <c r="AU228" s="41"/>
      <c r="AW228" s="45"/>
      <c r="AX228" s="46">
        <f>AE228*1000/$AM228</f>
        <v>295.33359957401495</v>
      </c>
      <c r="AZ228" s="45"/>
      <c r="BA228" s="36"/>
    </row>
    <row r="229" spans="1:53" s="35" customFormat="1">
      <c r="A229" s="17" t="str">
        <f t="shared" si="103"/>
        <v>\cite{Wang2019}</v>
      </c>
      <c r="B229" s="35" t="s">
        <v>26</v>
      </c>
      <c r="C229" s="35">
        <v>2019</v>
      </c>
      <c r="E229" s="13">
        <f t="shared" si="104"/>
        <v>2019</v>
      </c>
      <c r="F229" s="12">
        <f>LOOKUP(E229,Total_wind_installed_capacity!$A$3:$A$34,Total_wind_installed_capacity!$H$3:$H$34)</f>
        <v>643.43574999999998</v>
      </c>
      <c r="G229" s="36" t="s">
        <v>27</v>
      </c>
      <c r="H229" s="35" t="s">
        <v>33</v>
      </c>
      <c r="I229" s="36"/>
      <c r="J229" s="37">
        <v>2000</v>
      </c>
      <c r="K229" s="37">
        <v>1</v>
      </c>
      <c r="L229" s="37">
        <v>2000</v>
      </c>
      <c r="M229" s="38"/>
      <c r="N229" s="35" t="s">
        <v>31</v>
      </c>
      <c r="Q229" s="55" t="s">
        <v>35</v>
      </c>
      <c r="R229" s="39">
        <f t="shared" si="112"/>
        <v>0</v>
      </c>
      <c r="V229" s="45">
        <f t="shared" si="124"/>
        <v>0</v>
      </c>
      <c r="W229" s="41"/>
      <c r="X229" s="45">
        <f t="shared" si="125"/>
        <v>0</v>
      </c>
      <c r="Y229" s="45"/>
      <c r="AA229" s="56">
        <f t="shared" si="121"/>
        <v>0</v>
      </c>
      <c r="AC229" s="41">
        <f t="shared" si="109"/>
        <v>0</v>
      </c>
      <c r="AE229" s="42">
        <f>75904.84*1000</f>
        <v>75904840</v>
      </c>
      <c r="AG229" s="41">
        <f t="shared" si="126"/>
        <v>37.952419999999996</v>
      </c>
      <c r="AI229" s="43">
        <f t="shared" si="127"/>
        <v>0.46164383561643835</v>
      </c>
      <c r="AJ229" s="37">
        <f>8088*1000</f>
        <v>8088000</v>
      </c>
      <c r="AK229" s="44"/>
      <c r="AL229" s="35">
        <v>20</v>
      </c>
      <c r="AM229" s="37">
        <f t="shared" si="118"/>
        <v>161760000</v>
      </c>
      <c r="AN229" s="37">
        <f t="shared" si="122"/>
        <v>80880000</v>
      </c>
      <c r="AO229" s="36"/>
      <c r="AS229" s="41">
        <f t="shared" si="105"/>
        <v>0</v>
      </c>
      <c r="AT229" s="41"/>
      <c r="AU229" s="41"/>
      <c r="AW229" s="45"/>
      <c r="AX229" s="46">
        <f>AE229*1000/$AM229</f>
        <v>469.24357072205737</v>
      </c>
      <c r="AZ229" s="45"/>
      <c r="BA229" s="36"/>
    </row>
    <row r="230" spans="1:53">
      <c r="A230" s="17" t="str">
        <f t="shared" si="103"/>
        <v>\cite{Kabayo2019}</v>
      </c>
      <c r="B230" s="13" t="s">
        <v>280</v>
      </c>
      <c r="C230" s="13">
        <v>2019</v>
      </c>
      <c r="E230" s="13">
        <f t="shared" si="104"/>
        <v>2019</v>
      </c>
      <c r="F230" s="12">
        <f>LOOKUP(E230,Total_wind_installed_capacity!$A$3:$A$34,Total_wind_installed_capacity!$H$3:$H$34)</f>
        <v>643.43574999999998</v>
      </c>
      <c r="I230" s="18" t="s">
        <v>281</v>
      </c>
      <c r="J230" s="19">
        <f>L230/K230</f>
        <v>1941.5159676798769</v>
      </c>
      <c r="K230" s="19">
        <v>2599</v>
      </c>
      <c r="L230" s="19">
        <f>5046*1000</f>
        <v>5046000</v>
      </c>
      <c r="Q230" s="52" t="s">
        <v>20</v>
      </c>
      <c r="R230" s="22">
        <f t="shared" si="112"/>
        <v>0</v>
      </c>
      <c r="V230" s="6">
        <f t="shared" si="124"/>
        <v>0</v>
      </c>
      <c r="W230" s="25"/>
      <c r="X230" s="6">
        <f t="shared" si="125"/>
        <v>0</v>
      </c>
      <c r="Y230" s="6"/>
      <c r="AA230" s="24">
        <f t="shared" si="121"/>
        <v>0</v>
      </c>
      <c r="AC230" s="25">
        <f t="shared" si="109"/>
        <v>0</v>
      </c>
      <c r="AE230" s="32">
        <f>AX230*AM230</f>
        <v>4875200000000</v>
      </c>
      <c r="AG230" s="25">
        <f t="shared" si="126"/>
        <v>966.15140705509305</v>
      </c>
      <c r="AI230" s="27">
        <f t="shared" si="127"/>
        <v>0.27572814128284623</v>
      </c>
      <c r="AJ230" s="20">
        <f>12188*1000000</f>
        <v>12188000000</v>
      </c>
      <c r="AL230" s="13">
        <v>25</v>
      </c>
      <c r="AM230" s="20">
        <f t="shared" si="118"/>
        <v>304700000000</v>
      </c>
      <c r="AN230" s="20">
        <f t="shared" si="122"/>
        <v>60384462.940943316</v>
      </c>
      <c r="AS230" s="25">
        <f t="shared" si="105"/>
        <v>0</v>
      </c>
      <c r="AT230" s="25"/>
      <c r="AU230" s="25"/>
      <c r="AW230" s="6"/>
      <c r="AX230" s="29">
        <v>16</v>
      </c>
      <c r="AZ230" s="6"/>
    </row>
    <row r="231" spans="1:53">
      <c r="A231" s="17" t="str">
        <f t="shared" si="103"/>
        <v>\cite{Jung2021}</v>
      </c>
      <c r="B231" s="13" t="s">
        <v>282</v>
      </c>
      <c r="C231" s="13">
        <v>2021</v>
      </c>
      <c r="E231" s="13">
        <f t="shared" si="104"/>
        <v>2021</v>
      </c>
      <c r="F231" s="12">
        <f>LOOKUP(E231,Total_wind_installed_capacity!$A$3:$A$34,Total_wind_installed_capacity!$H$3:$H$34)</f>
        <v>741.39724999999999</v>
      </c>
      <c r="G231" s="18" t="s">
        <v>27</v>
      </c>
      <c r="H231" s="13" t="s">
        <v>33</v>
      </c>
      <c r="I231" s="18" t="s">
        <v>224</v>
      </c>
      <c r="J231" s="19">
        <v>811</v>
      </c>
      <c r="K231" s="19">
        <v>1</v>
      </c>
      <c r="L231" s="19">
        <f t="shared" ref="L231:L265" si="128">J231*K231</f>
        <v>811</v>
      </c>
      <c r="N231" s="13" t="s">
        <v>24</v>
      </c>
      <c r="O231" s="13">
        <v>51</v>
      </c>
      <c r="P231" s="13">
        <v>60</v>
      </c>
      <c r="Q231" s="52" t="s">
        <v>35</v>
      </c>
      <c r="R231" s="22">
        <f t="shared" si="112"/>
        <v>0</v>
      </c>
      <c r="V231" s="6">
        <f t="shared" si="124"/>
        <v>0</v>
      </c>
      <c r="W231" s="25"/>
      <c r="X231" s="6">
        <f t="shared" si="125"/>
        <v>0</v>
      </c>
      <c r="Y231" s="6"/>
      <c r="AA231" s="24">
        <f t="shared" si="121"/>
        <v>0</v>
      </c>
      <c r="AC231" s="25">
        <f t="shared" si="109"/>
        <v>0</v>
      </c>
      <c r="AE231" s="32">
        <v>454000</v>
      </c>
      <c r="AG231" s="25">
        <f t="shared" si="126"/>
        <v>0.55980271270036996</v>
      </c>
      <c r="AI231" s="27">
        <f t="shared" si="127"/>
        <v>0.16144274338871517</v>
      </c>
      <c r="AJ231" s="20">
        <f t="shared" ref="AJ231:AJ265" si="129">12*AE231/AZ231/0.5</f>
        <v>1146947.3684210526</v>
      </c>
      <c r="AL231" s="13">
        <v>20</v>
      </c>
      <c r="AM231" s="20">
        <f t="shared" si="118"/>
        <v>22938947.368421052</v>
      </c>
      <c r="AN231" s="20">
        <f t="shared" si="122"/>
        <v>28284768.641702902</v>
      </c>
      <c r="AS231" s="25">
        <f t="shared" si="105"/>
        <v>0</v>
      </c>
      <c r="AT231" s="25"/>
      <c r="AU231" s="25"/>
      <c r="AW231" s="6"/>
      <c r="AX231" s="29">
        <f t="shared" ref="AX231:AX265" si="130">AE231*1000/$AM231</f>
        <v>19.791666666666668</v>
      </c>
      <c r="AZ231" s="6">
        <v>9.5</v>
      </c>
      <c r="BA231" s="18" t="s">
        <v>283</v>
      </c>
    </row>
    <row r="232" spans="1:53">
      <c r="A232" s="17" t="str">
        <f t="shared" si="103"/>
        <v>\cite{Jung2021}</v>
      </c>
      <c r="B232" s="13" t="s">
        <v>282</v>
      </c>
      <c r="C232" s="13">
        <v>2021</v>
      </c>
      <c r="E232" s="13">
        <f t="shared" si="104"/>
        <v>2021</v>
      </c>
      <c r="F232" s="12">
        <f>LOOKUP(E232,Total_wind_installed_capacity!$A$3:$A$34,Total_wind_installed_capacity!$H$3:$H$34)</f>
        <v>741.39724999999999</v>
      </c>
      <c r="G232" s="18" t="s">
        <v>27</v>
      </c>
      <c r="H232" s="13" t="s">
        <v>33</v>
      </c>
      <c r="I232" s="18" t="s">
        <v>224</v>
      </c>
      <c r="J232" s="19">
        <v>811</v>
      </c>
      <c r="K232" s="19">
        <v>1</v>
      </c>
      <c r="L232" s="19">
        <f t="shared" si="128"/>
        <v>811</v>
      </c>
      <c r="N232" s="13" t="s">
        <v>24</v>
      </c>
      <c r="O232" s="13">
        <v>51</v>
      </c>
      <c r="P232" s="13">
        <v>80</v>
      </c>
      <c r="Q232" s="52" t="s">
        <v>35</v>
      </c>
      <c r="R232" s="22">
        <f t="shared" si="112"/>
        <v>0</v>
      </c>
      <c r="V232" s="6">
        <f t="shared" si="124"/>
        <v>0</v>
      </c>
      <c r="W232" s="25"/>
      <c r="X232" s="6">
        <f t="shared" si="125"/>
        <v>0</v>
      </c>
      <c r="Y232" s="6"/>
      <c r="AA232" s="24">
        <f t="shared" si="121"/>
        <v>0</v>
      </c>
      <c r="AC232" s="25">
        <f t="shared" si="109"/>
        <v>0</v>
      </c>
      <c r="AE232" s="32">
        <v>578000</v>
      </c>
      <c r="AG232" s="25">
        <f t="shared" si="126"/>
        <v>0.71270036991368679</v>
      </c>
      <c r="AI232" s="27">
        <f t="shared" si="127"/>
        <v>0.18775036088347913</v>
      </c>
      <c r="AJ232" s="20">
        <f t="shared" si="129"/>
        <v>1333846.1538461538</v>
      </c>
      <c r="AL232" s="13">
        <v>20</v>
      </c>
      <c r="AM232" s="20">
        <f t="shared" si="118"/>
        <v>26676923.076923076</v>
      </c>
      <c r="AN232" s="20">
        <f t="shared" si="122"/>
        <v>32893863.226785544</v>
      </c>
      <c r="AS232" s="25">
        <f t="shared" si="105"/>
        <v>0</v>
      </c>
      <c r="AT232" s="25"/>
      <c r="AU232" s="25"/>
      <c r="AW232" s="6"/>
      <c r="AX232" s="29">
        <f t="shared" si="130"/>
        <v>21.666666666666668</v>
      </c>
      <c r="AZ232" s="6">
        <v>10.4</v>
      </c>
      <c r="BA232" s="18" t="s">
        <v>284</v>
      </c>
    </row>
    <row r="233" spans="1:53">
      <c r="A233" s="17" t="str">
        <f t="shared" si="103"/>
        <v>\cite{Jung2021}</v>
      </c>
      <c r="B233" s="13" t="s">
        <v>282</v>
      </c>
      <c r="C233" s="13">
        <v>2021</v>
      </c>
      <c r="E233" s="13">
        <f t="shared" si="104"/>
        <v>2021</v>
      </c>
      <c r="F233" s="12">
        <f>LOOKUP(E233,Total_wind_installed_capacity!$A$3:$A$34,Total_wind_installed_capacity!$H$3:$H$34)</f>
        <v>741.39724999999999</v>
      </c>
      <c r="G233" s="18" t="s">
        <v>27</v>
      </c>
      <c r="H233" s="13" t="s">
        <v>33</v>
      </c>
      <c r="I233" s="18" t="s">
        <v>224</v>
      </c>
      <c r="J233" s="19">
        <v>2035</v>
      </c>
      <c r="K233" s="19">
        <v>1</v>
      </c>
      <c r="L233" s="19">
        <f t="shared" si="128"/>
        <v>2035</v>
      </c>
      <c r="N233" s="13" t="s">
        <v>24</v>
      </c>
      <c r="O233" s="13">
        <v>81</v>
      </c>
      <c r="P233" s="13">
        <v>60</v>
      </c>
      <c r="Q233" s="52" t="s">
        <v>35</v>
      </c>
      <c r="R233" s="22">
        <f t="shared" si="112"/>
        <v>0</v>
      </c>
      <c r="V233" s="6">
        <f t="shared" si="124"/>
        <v>0</v>
      </c>
      <c r="W233" s="25"/>
      <c r="X233" s="6">
        <f t="shared" si="125"/>
        <v>0</v>
      </c>
      <c r="Y233" s="6"/>
      <c r="AA233" s="24">
        <f t="shared" si="121"/>
        <v>0</v>
      </c>
      <c r="AC233" s="25">
        <f t="shared" si="109"/>
        <v>0</v>
      </c>
      <c r="AE233" s="32">
        <v>831000</v>
      </c>
      <c r="AG233" s="25">
        <f t="shared" si="126"/>
        <v>0.40835380835380836</v>
      </c>
      <c r="AI233" s="27">
        <f t="shared" si="127"/>
        <v>0.15538577182412799</v>
      </c>
      <c r="AJ233" s="20">
        <f t="shared" si="129"/>
        <v>2770000</v>
      </c>
      <c r="AL233" s="13">
        <v>20</v>
      </c>
      <c r="AM233" s="20">
        <f t="shared" si="118"/>
        <v>55400000</v>
      </c>
      <c r="AN233" s="20">
        <f t="shared" si="122"/>
        <v>27223587.223587222</v>
      </c>
      <c r="AS233" s="25">
        <f t="shared" si="105"/>
        <v>0</v>
      </c>
      <c r="AT233" s="25"/>
      <c r="AU233" s="25"/>
      <c r="AW233" s="6"/>
      <c r="AX233" s="29">
        <f t="shared" si="130"/>
        <v>15</v>
      </c>
      <c r="AZ233" s="6">
        <v>7.2</v>
      </c>
      <c r="BA233" s="18">
        <v>1</v>
      </c>
    </row>
    <row r="234" spans="1:53">
      <c r="A234" s="17" t="str">
        <f t="shared" si="103"/>
        <v>\cite{Jung2021}</v>
      </c>
      <c r="B234" s="13" t="s">
        <v>282</v>
      </c>
      <c r="C234" s="13">
        <v>2021</v>
      </c>
      <c r="E234" s="13">
        <f t="shared" si="104"/>
        <v>2021</v>
      </c>
      <c r="F234" s="12">
        <f>LOOKUP(E234,Total_wind_installed_capacity!$A$3:$A$34,Total_wind_installed_capacity!$H$3:$H$34)</f>
        <v>741.39724999999999</v>
      </c>
      <c r="G234" s="18" t="s">
        <v>27</v>
      </c>
      <c r="H234" s="13" t="s">
        <v>33</v>
      </c>
      <c r="I234" s="18" t="s">
        <v>224</v>
      </c>
      <c r="J234" s="19">
        <v>2027</v>
      </c>
      <c r="K234" s="19">
        <v>1</v>
      </c>
      <c r="L234" s="19">
        <f t="shared" si="128"/>
        <v>2027</v>
      </c>
      <c r="N234" s="13" t="s">
        <v>24</v>
      </c>
      <c r="O234" s="13">
        <v>81</v>
      </c>
      <c r="P234" s="13">
        <v>80</v>
      </c>
      <c r="Q234" s="52" t="s">
        <v>35</v>
      </c>
      <c r="R234" s="22">
        <f t="shared" si="112"/>
        <v>0</v>
      </c>
      <c r="V234" s="6">
        <f t="shared" si="124"/>
        <v>0</v>
      </c>
      <c r="W234" s="25"/>
      <c r="AA234" s="24">
        <f t="shared" si="121"/>
        <v>0</v>
      </c>
      <c r="AC234" s="25">
        <f t="shared" si="109"/>
        <v>0</v>
      </c>
      <c r="AE234" s="32">
        <v>1049000</v>
      </c>
      <c r="AG234" s="25">
        <f t="shared" si="126"/>
        <v>0.517513566847558</v>
      </c>
      <c r="AI234" s="27">
        <f t="shared" si="127"/>
        <v>0.18413576475629176</v>
      </c>
      <c r="AJ234" s="20">
        <f t="shared" si="129"/>
        <v>3269610.3896103897</v>
      </c>
      <c r="AL234" s="13">
        <v>20</v>
      </c>
      <c r="AM234" s="20">
        <f t="shared" si="118"/>
        <v>65392207.792207792</v>
      </c>
      <c r="AN234" s="20">
        <f t="shared" si="122"/>
        <v>32260585.985302314</v>
      </c>
      <c r="AS234" s="25">
        <f t="shared" si="105"/>
        <v>0</v>
      </c>
      <c r="AT234" s="25"/>
      <c r="AU234" s="25"/>
      <c r="AW234" s="6"/>
      <c r="AX234" s="29">
        <f t="shared" si="130"/>
        <v>16.041666666666668</v>
      </c>
      <c r="AZ234" s="6">
        <v>7.7</v>
      </c>
      <c r="BA234" s="18">
        <v>2</v>
      </c>
    </row>
    <row r="235" spans="1:53">
      <c r="A235" s="17" t="str">
        <f t="shared" si="103"/>
        <v>\cite{Jung2021}</v>
      </c>
      <c r="B235" s="13" t="s">
        <v>282</v>
      </c>
      <c r="C235" s="13">
        <v>2021</v>
      </c>
      <c r="E235" s="13">
        <f t="shared" si="104"/>
        <v>2021</v>
      </c>
      <c r="F235" s="12">
        <f>LOOKUP(E235,Total_wind_installed_capacity!$A$3:$A$34,Total_wind_installed_capacity!$H$3:$H$34)</f>
        <v>741.39724999999999</v>
      </c>
      <c r="G235" s="18" t="s">
        <v>27</v>
      </c>
      <c r="H235" s="13" t="s">
        <v>33</v>
      </c>
      <c r="I235" s="18" t="s">
        <v>224</v>
      </c>
      <c r="J235" s="19">
        <v>2033</v>
      </c>
      <c r="K235" s="19">
        <v>1</v>
      </c>
      <c r="L235" s="19">
        <f t="shared" si="128"/>
        <v>2033</v>
      </c>
      <c r="N235" s="13" t="s">
        <v>24</v>
      </c>
      <c r="O235" s="13">
        <v>78</v>
      </c>
      <c r="P235" s="13">
        <v>100</v>
      </c>
      <c r="Q235" s="52" t="s">
        <v>35</v>
      </c>
      <c r="R235" s="22">
        <f t="shared" si="112"/>
        <v>0</v>
      </c>
      <c r="V235" s="6">
        <f t="shared" si="124"/>
        <v>0</v>
      </c>
      <c r="W235" s="25"/>
      <c r="AA235" s="24">
        <f t="shared" si="121"/>
        <v>0</v>
      </c>
      <c r="AC235" s="25">
        <f t="shared" si="109"/>
        <v>0</v>
      </c>
      <c r="AE235" s="32">
        <v>1204000</v>
      </c>
      <c r="AG235" s="25">
        <f t="shared" si="126"/>
        <v>0.59222823413674375</v>
      </c>
      <c r="AI235" s="27">
        <f t="shared" si="127"/>
        <v>0.19787111063706775</v>
      </c>
      <c r="AJ235" s="20">
        <f t="shared" si="129"/>
        <v>3523902.4390243907</v>
      </c>
      <c r="AL235" s="13">
        <v>20</v>
      </c>
      <c r="AM235" s="20">
        <f t="shared" si="118"/>
        <v>70478048.780487806</v>
      </c>
      <c r="AN235" s="20">
        <f t="shared" si="122"/>
        <v>34667018.583614267</v>
      </c>
      <c r="AS235" s="25">
        <f t="shared" si="105"/>
        <v>0</v>
      </c>
      <c r="AT235" s="25"/>
      <c r="AU235" s="25"/>
      <c r="AW235" s="6"/>
      <c r="AX235" s="29">
        <f t="shared" si="130"/>
        <v>17.083333333333332</v>
      </c>
      <c r="AZ235" s="6">
        <v>8.1999999999999993</v>
      </c>
      <c r="BA235" s="18">
        <v>3</v>
      </c>
    </row>
    <row r="236" spans="1:53">
      <c r="A236" s="17" t="str">
        <f t="shared" si="103"/>
        <v>\cite{Jung2021}</v>
      </c>
      <c r="B236" s="13" t="s">
        <v>282</v>
      </c>
      <c r="C236" s="13">
        <v>2021</v>
      </c>
      <c r="E236" s="13">
        <f t="shared" si="104"/>
        <v>2021</v>
      </c>
      <c r="F236" s="12">
        <f>LOOKUP(E236,Total_wind_installed_capacity!$A$3:$A$34,Total_wind_installed_capacity!$H$3:$H$34)</f>
        <v>741.39724999999999</v>
      </c>
      <c r="G236" s="18" t="s">
        <v>27</v>
      </c>
      <c r="H236" s="13" t="s">
        <v>33</v>
      </c>
      <c r="I236" s="18" t="s">
        <v>224</v>
      </c>
      <c r="J236" s="19">
        <v>2337</v>
      </c>
      <c r="K236" s="19">
        <v>1</v>
      </c>
      <c r="L236" s="19">
        <f t="shared" si="128"/>
        <v>2337</v>
      </c>
      <c r="N236" s="13" t="s">
        <v>24</v>
      </c>
      <c r="O236" s="13">
        <v>82</v>
      </c>
      <c r="P236" s="13">
        <v>60</v>
      </c>
      <c r="Q236" s="52" t="s">
        <v>35</v>
      </c>
      <c r="R236" s="22">
        <f t="shared" si="112"/>
        <v>0</v>
      </c>
      <c r="V236" s="6">
        <f t="shared" si="124"/>
        <v>0</v>
      </c>
      <c r="W236" s="25"/>
      <c r="AC236" s="25">
        <f t="shared" si="109"/>
        <v>0</v>
      </c>
      <c r="AE236" s="32">
        <v>835000</v>
      </c>
      <c r="AG236" s="25">
        <f t="shared" si="126"/>
        <v>0.35729567821994013</v>
      </c>
      <c r="AI236" s="27">
        <f t="shared" si="127"/>
        <v>0.15059881063011174</v>
      </c>
      <c r="AJ236" s="20">
        <f t="shared" si="129"/>
        <v>3083076.923076923</v>
      </c>
      <c r="AL236" s="13">
        <v>20</v>
      </c>
      <c r="AM236" s="20">
        <f t="shared" si="118"/>
        <v>61661538.461538464</v>
      </c>
      <c r="AN236" s="20">
        <f t="shared" si="122"/>
        <v>26384911.622395579</v>
      </c>
      <c r="AS236" s="6">
        <f t="shared" si="105"/>
        <v>0</v>
      </c>
      <c r="AU236" s="25"/>
      <c r="AW236" s="6"/>
      <c r="AX236" s="29">
        <f t="shared" si="130"/>
        <v>13.541666666666666</v>
      </c>
      <c r="AZ236" s="6">
        <v>6.5</v>
      </c>
      <c r="BA236" s="18">
        <v>4</v>
      </c>
    </row>
    <row r="237" spans="1:53">
      <c r="A237" s="17" t="str">
        <f t="shared" si="103"/>
        <v>\cite{Jung2021}</v>
      </c>
      <c r="B237" s="13" t="s">
        <v>282</v>
      </c>
      <c r="C237" s="13">
        <v>2021</v>
      </c>
      <c r="E237" s="13">
        <f t="shared" si="104"/>
        <v>2021</v>
      </c>
      <c r="F237" s="12">
        <f>LOOKUP(E237,Total_wind_installed_capacity!$A$3:$A$34,Total_wind_installed_capacity!$H$3:$H$34)</f>
        <v>741.39724999999999</v>
      </c>
      <c r="G237" s="18" t="s">
        <v>27</v>
      </c>
      <c r="H237" s="13" t="s">
        <v>33</v>
      </c>
      <c r="I237" s="18" t="s">
        <v>224</v>
      </c>
      <c r="J237" s="19">
        <v>2341</v>
      </c>
      <c r="K237" s="19">
        <v>1</v>
      </c>
      <c r="L237" s="19">
        <f t="shared" si="128"/>
        <v>2341</v>
      </c>
      <c r="N237" s="13" t="s">
        <v>24</v>
      </c>
      <c r="O237" s="13">
        <v>82</v>
      </c>
      <c r="P237" s="13">
        <v>80</v>
      </c>
      <c r="Q237" s="52" t="s">
        <v>35</v>
      </c>
      <c r="R237" s="22">
        <f t="shared" si="112"/>
        <v>0</v>
      </c>
      <c r="V237" s="6">
        <f t="shared" si="124"/>
        <v>0</v>
      </c>
      <c r="W237" s="25"/>
      <c r="AC237" s="25">
        <f t="shared" ref="AC237:AC270" si="131">IF(AND(AA237&gt;0,AM237&gt;0),AA237/AM237, IF(AU237&gt;0, IF(Z237&gt;0, AU237*Z237/100,AU237*30/100),0))</f>
        <v>0</v>
      </c>
      <c r="AE237" s="32">
        <v>1065000</v>
      </c>
      <c r="AG237" s="25">
        <f t="shared" si="126"/>
        <v>0.45493378897906878</v>
      </c>
      <c r="AI237" s="27">
        <f t="shared" si="127"/>
        <v>0.17805627748691538</v>
      </c>
      <c r="AJ237" s="20">
        <f t="shared" si="129"/>
        <v>3651428.5714285714</v>
      </c>
      <c r="AL237" s="13">
        <v>20</v>
      </c>
      <c r="AM237" s="20">
        <f t="shared" si="118"/>
        <v>73028571.428571433</v>
      </c>
      <c r="AN237" s="20">
        <f t="shared" si="122"/>
        <v>31195459.815707576</v>
      </c>
      <c r="AS237" s="6">
        <f t="shared" si="105"/>
        <v>0</v>
      </c>
      <c r="AU237" s="25"/>
      <c r="AW237" s="6"/>
      <c r="AX237" s="29">
        <f t="shared" si="130"/>
        <v>14.583333333333332</v>
      </c>
      <c r="AZ237" s="6">
        <v>7</v>
      </c>
      <c r="BA237" s="18">
        <v>5</v>
      </c>
    </row>
    <row r="238" spans="1:53">
      <c r="A238" s="17" t="str">
        <f t="shared" si="103"/>
        <v>\cite{Jung2021}</v>
      </c>
      <c r="B238" s="13" t="s">
        <v>282</v>
      </c>
      <c r="C238" s="13">
        <v>2021</v>
      </c>
      <c r="E238" s="13">
        <f t="shared" si="104"/>
        <v>2021</v>
      </c>
      <c r="F238" s="12">
        <f>LOOKUP(E238,Total_wind_installed_capacity!$A$3:$A$34,Total_wind_installed_capacity!$H$3:$H$34)</f>
        <v>741.39724999999999</v>
      </c>
      <c r="G238" s="18" t="s">
        <v>27</v>
      </c>
      <c r="H238" s="13" t="s">
        <v>33</v>
      </c>
      <c r="I238" s="18" t="s">
        <v>224</v>
      </c>
      <c r="J238" s="19">
        <v>2342</v>
      </c>
      <c r="K238" s="19">
        <v>1</v>
      </c>
      <c r="L238" s="19">
        <f t="shared" si="128"/>
        <v>2342</v>
      </c>
      <c r="N238" s="13" t="s">
        <v>24</v>
      </c>
      <c r="O238" s="13">
        <v>95</v>
      </c>
      <c r="P238" s="13">
        <v>100</v>
      </c>
      <c r="Q238" s="52" t="s">
        <v>35</v>
      </c>
      <c r="R238" s="22">
        <f t="shared" si="112"/>
        <v>0</v>
      </c>
      <c r="V238" s="6">
        <f t="shared" si="124"/>
        <v>0</v>
      </c>
      <c r="W238" s="25"/>
      <c r="AC238" s="25">
        <f t="shared" si="131"/>
        <v>0</v>
      </c>
      <c r="AE238" s="32">
        <v>1555000</v>
      </c>
      <c r="AG238" s="25">
        <f t="shared" si="126"/>
        <v>0.66396242527754057</v>
      </c>
      <c r="AI238" s="27">
        <f t="shared" si="127"/>
        <v>0.23935199180877456</v>
      </c>
      <c r="AJ238" s="20">
        <f t="shared" si="129"/>
        <v>4910526.3157894742</v>
      </c>
      <c r="AL238" s="13">
        <v>20</v>
      </c>
      <c r="AM238" s="20">
        <f t="shared" si="118"/>
        <v>98210526.315789491</v>
      </c>
      <c r="AN238" s="20">
        <f t="shared" si="122"/>
        <v>41934468.964897305</v>
      </c>
      <c r="AS238" s="6">
        <f t="shared" si="105"/>
        <v>0</v>
      </c>
      <c r="AU238" s="25"/>
      <c r="AW238" s="6"/>
      <c r="AX238" s="29">
        <f t="shared" si="130"/>
        <v>15.83333333333333</v>
      </c>
      <c r="AZ238" s="6">
        <v>7.6</v>
      </c>
      <c r="BA238" s="18">
        <v>6</v>
      </c>
    </row>
    <row r="239" spans="1:53">
      <c r="A239" s="17" t="str">
        <f t="shared" si="103"/>
        <v>\cite{Jung2021}</v>
      </c>
      <c r="B239" s="13" t="s">
        <v>282</v>
      </c>
      <c r="C239" s="13">
        <v>2021</v>
      </c>
      <c r="E239" s="13">
        <f t="shared" si="104"/>
        <v>2021</v>
      </c>
      <c r="F239" s="12">
        <f>LOOKUP(E239,Total_wind_installed_capacity!$A$3:$A$34,Total_wind_installed_capacity!$H$3:$H$34)</f>
        <v>741.39724999999999</v>
      </c>
      <c r="G239" s="18" t="s">
        <v>27</v>
      </c>
      <c r="H239" s="13" t="s">
        <v>33</v>
      </c>
      <c r="I239" s="18" t="s">
        <v>224</v>
      </c>
      <c r="J239" s="19">
        <v>2355</v>
      </c>
      <c r="K239" s="19">
        <v>1</v>
      </c>
      <c r="L239" s="19">
        <f t="shared" si="128"/>
        <v>2355</v>
      </c>
      <c r="N239" s="13" t="s">
        <v>24</v>
      </c>
      <c r="O239" s="13">
        <v>94</v>
      </c>
      <c r="P239" s="13">
        <v>120</v>
      </c>
      <c r="Q239" s="52" t="s">
        <v>35</v>
      </c>
      <c r="R239" s="22">
        <f t="shared" si="112"/>
        <v>0</v>
      </c>
      <c r="V239" s="6">
        <f t="shared" si="124"/>
        <v>0</v>
      </c>
      <c r="W239" s="25"/>
      <c r="AC239" s="25">
        <f t="shared" si="131"/>
        <v>0</v>
      </c>
      <c r="AE239" s="32">
        <v>1788000</v>
      </c>
      <c r="AG239" s="25">
        <f t="shared" si="126"/>
        <v>0.75923566878980886</v>
      </c>
      <c r="AI239" s="27">
        <f t="shared" si="127"/>
        <v>0.25367045398924459</v>
      </c>
      <c r="AJ239" s="20">
        <f t="shared" si="129"/>
        <v>5233170.7317073178</v>
      </c>
      <c r="AL239" s="13">
        <v>20</v>
      </c>
      <c r="AM239" s="20">
        <f t="shared" si="118"/>
        <v>104663414.63414636</v>
      </c>
      <c r="AN239" s="20">
        <f t="shared" si="122"/>
        <v>44443063.538915649</v>
      </c>
      <c r="AS239" s="6">
        <f t="shared" si="105"/>
        <v>0</v>
      </c>
      <c r="AU239" s="25"/>
      <c r="AW239" s="6"/>
      <c r="AX239" s="29">
        <f t="shared" si="130"/>
        <v>17.083333333333329</v>
      </c>
      <c r="AZ239" s="6">
        <v>8.1999999999999993</v>
      </c>
      <c r="BA239" s="18">
        <v>7</v>
      </c>
    </row>
    <row r="240" spans="1:53">
      <c r="A240" s="17" t="str">
        <f t="shared" si="103"/>
        <v>\cite{Jung2021}</v>
      </c>
      <c r="B240" s="13" t="s">
        <v>282</v>
      </c>
      <c r="C240" s="13">
        <v>2021</v>
      </c>
      <c r="E240" s="13">
        <f t="shared" si="104"/>
        <v>2021</v>
      </c>
      <c r="F240" s="12">
        <f>LOOKUP(E240,Total_wind_installed_capacity!$A$3:$A$34,Total_wind_installed_capacity!$H$3:$H$34)</f>
        <v>741.39724999999999</v>
      </c>
      <c r="G240" s="18" t="s">
        <v>27</v>
      </c>
      <c r="H240" s="13" t="s">
        <v>33</v>
      </c>
      <c r="I240" s="18" t="s">
        <v>224</v>
      </c>
      <c r="J240" s="19">
        <v>2371</v>
      </c>
      <c r="K240" s="19">
        <v>1</v>
      </c>
      <c r="L240" s="19">
        <f t="shared" si="128"/>
        <v>2371</v>
      </c>
      <c r="N240" s="13" t="s">
        <v>24</v>
      </c>
      <c r="O240" s="13">
        <v>97</v>
      </c>
      <c r="P240" s="13">
        <v>140</v>
      </c>
      <c r="Q240" s="52" t="s">
        <v>35</v>
      </c>
      <c r="R240" s="22">
        <f t="shared" si="112"/>
        <v>0</v>
      </c>
      <c r="V240" s="6">
        <f t="shared" si="124"/>
        <v>0</v>
      </c>
      <c r="W240" s="25"/>
      <c r="AC240" s="25">
        <f t="shared" si="131"/>
        <v>0</v>
      </c>
      <c r="AE240" s="32">
        <v>2118000</v>
      </c>
      <c r="AG240" s="25">
        <f t="shared" si="126"/>
        <v>0.89329396878954026</v>
      </c>
      <c r="AI240" s="27">
        <f t="shared" si="127"/>
        <v>0.278111447319284</v>
      </c>
      <c r="AJ240" s="20">
        <f t="shared" si="129"/>
        <v>5776363.6363636358</v>
      </c>
      <c r="AL240" s="13">
        <v>20</v>
      </c>
      <c r="AM240" s="20">
        <f t="shared" si="118"/>
        <v>115527272.72727272</v>
      </c>
      <c r="AN240" s="20">
        <f t="shared" si="122"/>
        <v>48725125.570338555</v>
      </c>
      <c r="AS240" s="6">
        <f t="shared" si="105"/>
        <v>0</v>
      </c>
      <c r="AU240" s="25"/>
      <c r="AW240" s="6"/>
      <c r="AX240" s="29">
        <f t="shared" si="130"/>
        <v>18.333333333333336</v>
      </c>
      <c r="AZ240" s="6">
        <v>8.8000000000000007</v>
      </c>
      <c r="BA240" s="18">
        <v>8</v>
      </c>
    </row>
    <row r="241" spans="1:53">
      <c r="A241" s="17" t="str">
        <f t="shared" si="103"/>
        <v>\cite{Jung2021}</v>
      </c>
      <c r="B241" s="13" t="s">
        <v>282</v>
      </c>
      <c r="C241" s="13">
        <v>2021</v>
      </c>
      <c r="E241" s="13">
        <f t="shared" si="104"/>
        <v>2021</v>
      </c>
      <c r="F241" s="12">
        <f>LOOKUP(E241,Total_wind_installed_capacity!$A$3:$A$34,Total_wind_installed_capacity!$H$3:$H$34)</f>
        <v>741.39724999999999</v>
      </c>
      <c r="G241" s="18" t="s">
        <v>27</v>
      </c>
      <c r="H241" s="13" t="s">
        <v>33</v>
      </c>
      <c r="I241" s="18" t="s">
        <v>224</v>
      </c>
      <c r="J241" s="19">
        <v>2687</v>
      </c>
      <c r="K241" s="19">
        <v>1</v>
      </c>
      <c r="L241" s="19">
        <f t="shared" si="128"/>
        <v>2687</v>
      </c>
      <c r="N241" s="13" t="s">
        <v>24</v>
      </c>
      <c r="O241" s="13">
        <v>108</v>
      </c>
      <c r="P241" s="13">
        <v>80</v>
      </c>
      <c r="Q241" s="52" t="s">
        <v>35</v>
      </c>
      <c r="R241" s="22">
        <f t="shared" si="112"/>
        <v>0</v>
      </c>
      <c r="V241" s="6">
        <f t="shared" si="124"/>
        <v>0</v>
      </c>
      <c r="W241" s="25"/>
      <c r="AC241" s="25">
        <f t="shared" si="131"/>
        <v>0</v>
      </c>
      <c r="AE241" s="32">
        <v>1511000</v>
      </c>
      <c r="AG241" s="25">
        <f t="shared" si="126"/>
        <v>0.56233717901004843</v>
      </c>
      <c r="AI241" s="27">
        <f t="shared" si="127"/>
        <v>0.21699293035309605</v>
      </c>
      <c r="AJ241" s="20">
        <f t="shared" si="129"/>
        <v>5107605.6338028172</v>
      </c>
      <c r="AL241" s="13">
        <v>20</v>
      </c>
      <c r="AM241" s="20">
        <f t="shared" si="118"/>
        <v>102152112.67605634</v>
      </c>
      <c r="AN241" s="20">
        <f t="shared" si="122"/>
        <v>38017161.397862427</v>
      </c>
      <c r="AS241" s="6">
        <f t="shared" si="105"/>
        <v>0</v>
      </c>
      <c r="AU241" s="25"/>
      <c r="AW241" s="6"/>
      <c r="AX241" s="29">
        <f t="shared" si="130"/>
        <v>14.791666666666666</v>
      </c>
      <c r="AZ241" s="6">
        <v>7.1</v>
      </c>
      <c r="BA241" s="18">
        <v>9</v>
      </c>
    </row>
    <row r="242" spans="1:53">
      <c r="A242" s="17" t="str">
        <f t="shared" si="103"/>
        <v>\cite{Jung2021}</v>
      </c>
      <c r="B242" s="13" t="s">
        <v>282</v>
      </c>
      <c r="C242" s="13">
        <v>2021</v>
      </c>
      <c r="E242" s="13">
        <f t="shared" si="104"/>
        <v>2021</v>
      </c>
      <c r="F242" s="12">
        <f>LOOKUP(E242,Total_wind_installed_capacity!$A$3:$A$34,Total_wind_installed_capacity!$H$3:$H$34)</f>
        <v>741.39724999999999</v>
      </c>
      <c r="G242" s="18" t="s">
        <v>27</v>
      </c>
      <c r="H242" s="13" t="s">
        <v>33</v>
      </c>
      <c r="I242" s="18" t="s">
        <v>224</v>
      </c>
      <c r="J242" s="19">
        <v>2687</v>
      </c>
      <c r="K242" s="19">
        <v>1</v>
      </c>
      <c r="L242" s="19">
        <f t="shared" si="128"/>
        <v>2687</v>
      </c>
      <c r="N242" s="13" t="s">
        <v>24</v>
      </c>
      <c r="O242" s="13">
        <v>112</v>
      </c>
      <c r="P242" s="13">
        <v>100</v>
      </c>
      <c r="Q242" s="52" t="s">
        <v>35</v>
      </c>
      <c r="R242" s="53">
        <f t="shared" si="112"/>
        <v>0</v>
      </c>
      <c r="V242" s="6">
        <f t="shared" si="124"/>
        <v>0</v>
      </c>
      <c r="W242" s="25"/>
      <c r="AC242" s="25">
        <f t="shared" si="131"/>
        <v>0</v>
      </c>
      <c r="AE242" s="32">
        <v>1909000</v>
      </c>
      <c r="AG242" s="25">
        <f t="shared" si="126"/>
        <v>0.71045775958317825</v>
      </c>
      <c r="AI242" s="27">
        <f t="shared" si="127"/>
        <v>0.2561131072758393</v>
      </c>
      <c r="AJ242" s="20">
        <f t="shared" si="129"/>
        <v>6028421.0526315793</v>
      </c>
      <c r="AL242" s="13">
        <v>20</v>
      </c>
      <c r="AM242" s="20">
        <f t="shared" si="118"/>
        <v>120568421.05263159</v>
      </c>
      <c r="AN242" s="20">
        <f t="shared" si="122"/>
        <v>44871016.394727051</v>
      </c>
      <c r="AS242" s="6">
        <f t="shared" si="105"/>
        <v>0</v>
      </c>
      <c r="AU242" s="25"/>
      <c r="AW242" s="6"/>
      <c r="AX242" s="29">
        <f t="shared" si="130"/>
        <v>15.833333333333332</v>
      </c>
      <c r="AZ242" s="6">
        <v>7.6</v>
      </c>
      <c r="BA242" s="18">
        <v>10</v>
      </c>
    </row>
    <row r="243" spans="1:53">
      <c r="A243" s="17" t="str">
        <f t="shared" si="103"/>
        <v>\cite{Jung2021}</v>
      </c>
      <c r="B243" s="13" t="s">
        <v>282</v>
      </c>
      <c r="C243" s="13">
        <v>2021</v>
      </c>
      <c r="E243" s="13">
        <f t="shared" si="104"/>
        <v>2021</v>
      </c>
      <c r="F243" s="12">
        <f>LOOKUP(E243,Total_wind_installed_capacity!$A$3:$A$34,Total_wind_installed_capacity!$H$3:$H$34)</f>
        <v>741.39724999999999</v>
      </c>
      <c r="G243" s="18" t="s">
        <v>27</v>
      </c>
      <c r="H243" s="13" t="s">
        <v>33</v>
      </c>
      <c r="I243" s="18" t="s">
        <v>224</v>
      </c>
      <c r="J243" s="19">
        <v>2781</v>
      </c>
      <c r="K243" s="19">
        <v>1</v>
      </c>
      <c r="L243" s="19">
        <f t="shared" si="128"/>
        <v>2781</v>
      </c>
      <c r="N243" s="13" t="s">
        <v>24</v>
      </c>
      <c r="O243" s="13">
        <v>112</v>
      </c>
      <c r="P243" s="13">
        <v>120</v>
      </c>
      <c r="Q243" s="52" t="s">
        <v>35</v>
      </c>
      <c r="R243" s="22">
        <f t="shared" si="112"/>
        <v>0</v>
      </c>
      <c r="V243" s="6">
        <f t="shared" si="124"/>
        <v>0</v>
      </c>
      <c r="W243" s="25"/>
      <c r="AC243" s="25">
        <f t="shared" si="131"/>
        <v>0</v>
      </c>
      <c r="AE243" s="32">
        <v>2221000</v>
      </c>
      <c r="AG243" s="25">
        <f t="shared" si="126"/>
        <v>0.79863358504135207</v>
      </c>
      <c r="AI243" s="27">
        <f t="shared" si="127"/>
        <v>0.27350465241142191</v>
      </c>
      <c r="AJ243" s="20">
        <f t="shared" si="129"/>
        <v>6663000</v>
      </c>
      <c r="AL243" s="13">
        <v>20</v>
      </c>
      <c r="AM243" s="20">
        <f t="shared" si="118"/>
        <v>133260000</v>
      </c>
      <c r="AN243" s="20">
        <f t="shared" si="122"/>
        <v>47918015.102481119</v>
      </c>
      <c r="AS243" s="6">
        <f t="shared" si="105"/>
        <v>0</v>
      </c>
      <c r="AU243" s="25"/>
      <c r="AW243" s="6"/>
      <c r="AX243" s="29">
        <f t="shared" si="130"/>
        <v>16.666666666666668</v>
      </c>
      <c r="AZ243" s="6">
        <v>8</v>
      </c>
      <c r="BA243" s="18">
        <v>11</v>
      </c>
    </row>
    <row r="244" spans="1:53">
      <c r="A244" s="17" t="str">
        <f t="shared" si="103"/>
        <v>\cite{Jung2021}</v>
      </c>
      <c r="B244" s="13" t="s">
        <v>282</v>
      </c>
      <c r="C244" s="13">
        <v>2021</v>
      </c>
      <c r="E244" s="13">
        <f t="shared" si="104"/>
        <v>2021</v>
      </c>
      <c r="F244" s="12">
        <f>LOOKUP(E244,Total_wind_installed_capacity!$A$3:$A$34,Total_wind_installed_capacity!$H$3:$H$34)</f>
        <v>741.39724999999999</v>
      </c>
      <c r="G244" s="18" t="s">
        <v>27</v>
      </c>
      <c r="H244" s="13" t="s">
        <v>33</v>
      </c>
      <c r="I244" s="18" t="s">
        <v>224</v>
      </c>
      <c r="J244" s="19">
        <v>2641</v>
      </c>
      <c r="K244" s="19">
        <v>1</v>
      </c>
      <c r="L244" s="19">
        <f t="shared" si="128"/>
        <v>2641</v>
      </c>
      <c r="N244" s="13" t="s">
        <v>24</v>
      </c>
      <c r="O244" s="13">
        <v>116</v>
      </c>
      <c r="P244" s="13">
        <v>140</v>
      </c>
      <c r="Q244" s="52" t="s">
        <v>35</v>
      </c>
      <c r="R244" s="22">
        <f t="shared" si="112"/>
        <v>0</v>
      </c>
      <c r="V244" s="6">
        <f t="shared" si="124"/>
        <v>0</v>
      </c>
      <c r="W244" s="25"/>
      <c r="AC244" s="25">
        <f t="shared" si="131"/>
        <v>0</v>
      </c>
      <c r="AE244" s="32">
        <v>2658000</v>
      </c>
      <c r="AG244" s="25">
        <f t="shared" si="126"/>
        <v>1.006436955698599</v>
      </c>
      <c r="AI244" s="27">
        <f t="shared" si="127"/>
        <v>0.31333653664339944</v>
      </c>
      <c r="AJ244" s="20">
        <f t="shared" si="129"/>
        <v>7249090.9090909082</v>
      </c>
      <c r="AL244" s="13">
        <v>20</v>
      </c>
      <c r="AM244" s="20">
        <f t="shared" si="118"/>
        <v>144981818.18181816</v>
      </c>
      <c r="AN244" s="20">
        <f t="shared" si="122"/>
        <v>54896561.219923578</v>
      </c>
      <c r="AS244" s="6">
        <f t="shared" si="105"/>
        <v>0</v>
      </c>
      <c r="AU244" s="25"/>
      <c r="AW244" s="6"/>
      <c r="AX244" s="29">
        <f t="shared" si="130"/>
        <v>18.333333333333336</v>
      </c>
      <c r="AZ244" s="6">
        <v>8.8000000000000007</v>
      </c>
      <c r="BA244" s="18">
        <v>12</v>
      </c>
    </row>
    <row r="245" spans="1:53">
      <c r="A245" s="17" t="str">
        <f t="shared" si="103"/>
        <v>\cite{Jung2021}</v>
      </c>
      <c r="B245" s="13" t="s">
        <v>282</v>
      </c>
      <c r="C245" s="13">
        <v>2021</v>
      </c>
      <c r="E245" s="13">
        <f t="shared" si="104"/>
        <v>2021</v>
      </c>
      <c r="F245" s="12">
        <f>LOOKUP(E245,Total_wind_installed_capacity!$A$3:$A$34,Total_wind_installed_capacity!$H$3:$H$34)</f>
        <v>741.39724999999999</v>
      </c>
      <c r="G245" s="18" t="s">
        <v>27</v>
      </c>
      <c r="H245" s="13" t="s">
        <v>33</v>
      </c>
      <c r="I245" s="18" t="s">
        <v>224</v>
      </c>
      <c r="J245" s="19">
        <v>3032</v>
      </c>
      <c r="K245" s="19">
        <v>1</v>
      </c>
      <c r="L245" s="19">
        <f t="shared" si="128"/>
        <v>3032</v>
      </c>
      <c r="N245" s="13" t="s">
        <v>24</v>
      </c>
      <c r="O245" s="13">
        <v>95</v>
      </c>
      <c r="P245" s="13">
        <v>80</v>
      </c>
      <c r="Q245" s="52" t="s">
        <v>35</v>
      </c>
      <c r="R245" s="22">
        <f t="shared" si="112"/>
        <v>0</v>
      </c>
      <c r="V245" s="6">
        <f t="shared" si="124"/>
        <v>0</v>
      </c>
      <c r="W245" s="25"/>
      <c r="AC245" s="25">
        <f t="shared" si="131"/>
        <v>0</v>
      </c>
      <c r="AE245" s="32">
        <v>1283000</v>
      </c>
      <c r="AG245" s="25">
        <f t="shared" si="126"/>
        <v>0.42315303430079154</v>
      </c>
      <c r="AI245" s="27">
        <f t="shared" si="127"/>
        <v>0.16801788139797164</v>
      </c>
      <c r="AJ245" s="20">
        <f t="shared" si="129"/>
        <v>4462608.6956521738</v>
      </c>
      <c r="AL245" s="13">
        <v>20</v>
      </c>
      <c r="AM245" s="20">
        <f t="shared" si="118"/>
        <v>89252173.913043469</v>
      </c>
      <c r="AN245" s="20">
        <f t="shared" si="122"/>
        <v>29436732.820924625</v>
      </c>
      <c r="AS245" s="6">
        <f t="shared" si="105"/>
        <v>0</v>
      </c>
      <c r="AU245" s="25"/>
      <c r="AW245" s="6"/>
      <c r="AX245" s="29">
        <f t="shared" si="130"/>
        <v>14.375000000000002</v>
      </c>
      <c r="AZ245" s="6">
        <v>6.9</v>
      </c>
      <c r="BA245" s="18">
        <v>13</v>
      </c>
    </row>
    <row r="246" spans="1:53">
      <c r="A246" s="17" t="str">
        <f t="shared" si="103"/>
        <v>\cite{Jung2021}</v>
      </c>
      <c r="B246" s="13" t="s">
        <v>282</v>
      </c>
      <c r="C246" s="13">
        <v>2021</v>
      </c>
      <c r="E246" s="13">
        <f t="shared" si="104"/>
        <v>2021</v>
      </c>
      <c r="F246" s="12">
        <f>LOOKUP(E246,Total_wind_installed_capacity!$A$3:$A$34,Total_wind_installed_capacity!$H$3:$H$34)</f>
        <v>741.39724999999999</v>
      </c>
      <c r="G246" s="18" t="s">
        <v>27</v>
      </c>
      <c r="H246" s="13" t="s">
        <v>33</v>
      </c>
      <c r="I246" s="18" t="s">
        <v>224</v>
      </c>
      <c r="J246" s="19">
        <v>3026</v>
      </c>
      <c r="K246" s="19">
        <v>1</v>
      </c>
      <c r="L246" s="19">
        <f t="shared" si="128"/>
        <v>3026</v>
      </c>
      <c r="N246" s="13" t="s">
        <v>24</v>
      </c>
      <c r="O246" s="13">
        <v>120</v>
      </c>
      <c r="P246" s="13">
        <v>100</v>
      </c>
      <c r="Q246" s="52" t="s">
        <v>35</v>
      </c>
      <c r="R246" s="22">
        <f t="shared" si="112"/>
        <v>0</v>
      </c>
      <c r="V246" s="6">
        <f t="shared" si="124"/>
        <v>0</v>
      </c>
      <c r="W246" s="25"/>
      <c r="AC246" s="25">
        <f t="shared" si="131"/>
        <v>0</v>
      </c>
      <c r="AE246" s="32">
        <v>2085000</v>
      </c>
      <c r="AG246" s="25">
        <f t="shared" si="126"/>
        <v>0.68902842035690681</v>
      </c>
      <c r="AI246" s="27">
        <f t="shared" si="127"/>
        <v>0.25859576669427914</v>
      </c>
      <c r="AJ246" s="20">
        <f t="shared" si="129"/>
        <v>6854794.5205479451</v>
      </c>
      <c r="AL246" s="13">
        <v>20</v>
      </c>
      <c r="AM246" s="20">
        <f t="shared" si="118"/>
        <v>137095890.41095889</v>
      </c>
      <c r="AN246" s="20">
        <f t="shared" si="122"/>
        <v>45305978.3248377</v>
      </c>
      <c r="AS246" s="6">
        <f t="shared" si="105"/>
        <v>0</v>
      </c>
      <c r="AU246" s="25"/>
      <c r="AW246" s="6"/>
      <c r="AX246" s="29">
        <f t="shared" si="130"/>
        <v>15.208333333333336</v>
      </c>
      <c r="AZ246" s="6">
        <v>7.3</v>
      </c>
      <c r="BA246" s="18">
        <v>14</v>
      </c>
    </row>
    <row r="247" spans="1:53">
      <c r="A247" s="17" t="str">
        <f t="shared" si="103"/>
        <v>\cite{Jung2021}</v>
      </c>
      <c r="B247" s="13" t="s">
        <v>282</v>
      </c>
      <c r="C247" s="13">
        <v>2021</v>
      </c>
      <c r="E247" s="13">
        <f t="shared" si="104"/>
        <v>2021</v>
      </c>
      <c r="F247" s="12">
        <f>LOOKUP(E247,Total_wind_installed_capacity!$A$3:$A$34,Total_wind_installed_capacity!$H$3:$H$34)</f>
        <v>741.39724999999999</v>
      </c>
      <c r="G247" s="18" t="s">
        <v>27</v>
      </c>
      <c r="H247" s="13" t="s">
        <v>33</v>
      </c>
      <c r="I247" s="18" t="s">
        <v>224</v>
      </c>
      <c r="J247" s="19">
        <v>3020</v>
      </c>
      <c r="K247" s="19">
        <v>1</v>
      </c>
      <c r="L247" s="19">
        <f t="shared" si="128"/>
        <v>3020</v>
      </c>
      <c r="N247" s="13" t="s">
        <v>24</v>
      </c>
      <c r="O247" s="13">
        <v>121</v>
      </c>
      <c r="P247" s="13">
        <v>120</v>
      </c>
      <c r="Q247" s="52" t="s">
        <v>35</v>
      </c>
      <c r="R247" s="22">
        <f t="shared" si="112"/>
        <v>0</v>
      </c>
      <c r="V247" s="6">
        <f t="shared" si="124"/>
        <v>0</v>
      </c>
      <c r="W247" s="25"/>
      <c r="AC247" s="25">
        <f t="shared" si="131"/>
        <v>0</v>
      </c>
      <c r="AE247" s="32">
        <v>2471000</v>
      </c>
      <c r="AG247" s="25">
        <f t="shared" si="126"/>
        <v>0.8182119205298013</v>
      </c>
      <c r="AI247" s="27">
        <f t="shared" si="127"/>
        <v>0.28375651830407539</v>
      </c>
      <c r="AJ247" s="20">
        <f t="shared" si="129"/>
        <v>7506835.4430379746</v>
      </c>
      <c r="AL247" s="13">
        <v>20</v>
      </c>
      <c r="AM247" s="20">
        <f t="shared" si="118"/>
        <v>150136708.8607595</v>
      </c>
      <c r="AN247" s="20">
        <f t="shared" si="122"/>
        <v>49714142.006874003</v>
      </c>
      <c r="AS247" s="6">
        <f t="shared" si="105"/>
        <v>0</v>
      </c>
      <c r="AU247" s="25"/>
      <c r="AW247" s="6"/>
      <c r="AX247" s="29">
        <f t="shared" si="130"/>
        <v>16.458333333333332</v>
      </c>
      <c r="AZ247" s="6">
        <v>7.9</v>
      </c>
      <c r="BA247" s="18">
        <v>15</v>
      </c>
    </row>
    <row r="248" spans="1:53">
      <c r="A248" s="17" t="str">
        <f t="shared" si="103"/>
        <v>\cite{Jung2021}</v>
      </c>
      <c r="B248" s="13" t="s">
        <v>282</v>
      </c>
      <c r="C248" s="13">
        <v>2021</v>
      </c>
      <c r="E248" s="13">
        <f t="shared" si="104"/>
        <v>2021</v>
      </c>
      <c r="F248" s="12">
        <f>LOOKUP(E248,Total_wind_installed_capacity!$A$3:$A$34,Total_wind_installed_capacity!$H$3:$H$34)</f>
        <v>741.39724999999999</v>
      </c>
      <c r="G248" s="18" t="s">
        <v>27</v>
      </c>
      <c r="H248" s="13" t="s">
        <v>33</v>
      </c>
      <c r="I248" s="18" t="s">
        <v>224</v>
      </c>
      <c r="J248" s="19">
        <v>3001</v>
      </c>
      <c r="K248" s="19">
        <v>1</v>
      </c>
      <c r="L248" s="19">
        <f t="shared" si="128"/>
        <v>3001</v>
      </c>
      <c r="N248" s="13" t="s">
        <v>24</v>
      </c>
      <c r="O248" s="13">
        <v>123</v>
      </c>
      <c r="P248" s="13">
        <v>140</v>
      </c>
      <c r="Q248" s="52" t="s">
        <v>35</v>
      </c>
      <c r="R248" s="22">
        <f t="shared" si="112"/>
        <v>0</v>
      </c>
      <c r="V248" s="6">
        <f t="shared" si="124"/>
        <v>0</v>
      </c>
      <c r="W248" s="25"/>
      <c r="AC248" s="25">
        <f t="shared" si="131"/>
        <v>0</v>
      </c>
      <c r="AE248" s="32">
        <v>2864000</v>
      </c>
      <c r="AG248" s="25">
        <f t="shared" si="126"/>
        <v>0.95434855048317224</v>
      </c>
      <c r="AI248" s="27">
        <f t="shared" si="127"/>
        <v>0.31126828130566614</v>
      </c>
      <c r="AJ248" s="20">
        <f t="shared" si="129"/>
        <v>8182857.1428571427</v>
      </c>
      <c r="AL248" s="13">
        <v>20</v>
      </c>
      <c r="AM248" s="20">
        <f t="shared" si="118"/>
        <v>163657142.85714287</v>
      </c>
      <c r="AN248" s="20">
        <f t="shared" si="122"/>
        <v>54534202.884752706</v>
      </c>
      <c r="AS248" s="6">
        <f t="shared" si="105"/>
        <v>0</v>
      </c>
      <c r="AU248" s="25"/>
      <c r="AW248" s="6"/>
      <c r="AX248" s="29">
        <f t="shared" si="130"/>
        <v>17.5</v>
      </c>
      <c r="AZ248" s="6">
        <v>8.4</v>
      </c>
      <c r="BA248" s="18">
        <v>16</v>
      </c>
    </row>
    <row r="249" spans="1:53">
      <c r="A249" s="17" t="str">
        <f t="shared" si="103"/>
        <v>\cite{Jung2021}</v>
      </c>
      <c r="B249" s="13" t="s">
        <v>282</v>
      </c>
      <c r="C249" s="13">
        <v>2021</v>
      </c>
      <c r="E249" s="13">
        <f t="shared" si="104"/>
        <v>2021</v>
      </c>
      <c r="F249" s="12">
        <f>LOOKUP(E249,Total_wind_installed_capacity!$A$3:$A$34,Total_wind_installed_capacity!$H$3:$H$34)</f>
        <v>741.39724999999999</v>
      </c>
      <c r="G249" s="18" t="s">
        <v>27</v>
      </c>
      <c r="H249" s="13" t="s">
        <v>33</v>
      </c>
      <c r="I249" s="18" t="s">
        <v>224</v>
      </c>
      <c r="J249" s="19">
        <v>3215</v>
      </c>
      <c r="K249" s="19">
        <v>1</v>
      </c>
      <c r="L249" s="19">
        <f t="shared" si="128"/>
        <v>3215</v>
      </c>
      <c r="N249" s="13" t="s">
        <v>24</v>
      </c>
      <c r="O249" s="13">
        <v>122</v>
      </c>
      <c r="P249" s="13">
        <v>80</v>
      </c>
      <c r="Q249" s="52" t="s">
        <v>35</v>
      </c>
      <c r="R249" s="22">
        <f t="shared" si="112"/>
        <v>0</v>
      </c>
      <c r="V249" s="6">
        <f t="shared" si="124"/>
        <v>0</v>
      </c>
      <c r="W249" s="25"/>
      <c r="AC249" s="25">
        <f t="shared" si="131"/>
        <v>0</v>
      </c>
      <c r="AE249" s="32">
        <v>1762000</v>
      </c>
      <c r="AG249" s="25">
        <f t="shared" si="126"/>
        <v>0.5480559875583203</v>
      </c>
      <c r="AI249" s="27">
        <f t="shared" si="127"/>
        <v>0.23461300837256863</v>
      </c>
      <c r="AJ249" s="20">
        <f t="shared" si="129"/>
        <v>6607500</v>
      </c>
      <c r="AL249" s="13">
        <v>20</v>
      </c>
      <c r="AM249" s="20">
        <f t="shared" si="118"/>
        <v>132150000</v>
      </c>
      <c r="AN249" s="20">
        <f t="shared" si="122"/>
        <v>41104199.066874027</v>
      </c>
      <c r="AS249" s="6">
        <f t="shared" si="105"/>
        <v>0</v>
      </c>
      <c r="AU249" s="25"/>
      <c r="AW249" s="6"/>
      <c r="AX249" s="29">
        <f t="shared" si="130"/>
        <v>13.333333333333334</v>
      </c>
      <c r="AZ249" s="6">
        <v>6.4</v>
      </c>
      <c r="BA249" s="18">
        <v>17</v>
      </c>
    </row>
    <row r="250" spans="1:53">
      <c r="A250" s="17" t="str">
        <f t="shared" si="103"/>
        <v>\cite{Jung2021}</v>
      </c>
      <c r="B250" s="13" t="s">
        <v>282</v>
      </c>
      <c r="C250" s="13">
        <v>2021</v>
      </c>
      <c r="E250" s="13">
        <f t="shared" si="104"/>
        <v>2021</v>
      </c>
      <c r="F250" s="12">
        <f>LOOKUP(E250,Total_wind_installed_capacity!$A$3:$A$34,Total_wind_installed_capacity!$H$3:$H$34)</f>
        <v>741.39724999999999</v>
      </c>
      <c r="G250" s="18" t="s">
        <v>27</v>
      </c>
      <c r="H250" s="13" t="s">
        <v>33</v>
      </c>
      <c r="I250" s="18" t="s">
        <v>224</v>
      </c>
      <c r="J250" s="19">
        <v>3188</v>
      </c>
      <c r="K250" s="19">
        <v>1</v>
      </c>
      <c r="L250" s="19">
        <f t="shared" si="128"/>
        <v>3188</v>
      </c>
      <c r="N250" s="13" t="s">
        <v>24</v>
      </c>
      <c r="O250" s="13">
        <v>121</v>
      </c>
      <c r="P250" s="13">
        <v>100</v>
      </c>
      <c r="Q250" s="52" t="s">
        <v>35</v>
      </c>
      <c r="R250" s="22">
        <f t="shared" si="112"/>
        <v>0</v>
      </c>
      <c r="V250" s="6">
        <f t="shared" si="124"/>
        <v>0</v>
      </c>
      <c r="W250" s="25"/>
      <c r="AC250" s="25">
        <f t="shared" si="131"/>
        <v>0</v>
      </c>
      <c r="AE250" s="32">
        <v>2120000</v>
      </c>
      <c r="AG250" s="25">
        <f t="shared" si="126"/>
        <v>0.66499372647427857</v>
      </c>
      <c r="AI250" s="27">
        <f t="shared" si="127"/>
        <v>0.26027151721106795</v>
      </c>
      <c r="AJ250" s="20">
        <f t="shared" si="129"/>
        <v>7268571.4285714282</v>
      </c>
      <c r="AL250" s="13">
        <v>20</v>
      </c>
      <c r="AM250" s="20">
        <f t="shared" si="118"/>
        <v>145371428.57142857</v>
      </c>
      <c r="AN250" s="20">
        <f t="shared" si="122"/>
        <v>45599569.815379098</v>
      </c>
      <c r="AS250" s="6">
        <f t="shared" si="105"/>
        <v>0</v>
      </c>
      <c r="AU250" s="25"/>
      <c r="AW250" s="6"/>
      <c r="AX250" s="29">
        <f t="shared" si="130"/>
        <v>14.583333333333334</v>
      </c>
      <c r="AZ250" s="6">
        <v>7</v>
      </c>
      <c r="BA250" s="18">
        <v>18</v>
      </c>
    </row>
    <row r="251" spans="1:53">
      <c r="A251" s="17" t="str">
        <f t="shared" si="103"/>
        <v>\cite{Jung2021}</v>
      </c>
      <c r="B251" s="13" t="s">
        <v>282</v>
      </c>
      <c r="C251" s="13">
        <v>2021</v>
      </c>
      <c r="E251" s="13">
        <f t="shared" si="104"/>
        <v>2021</v>
      </c>
      <c r="F251" s="12">
        <f>LOOKUP(E251,Total_wind_installed_capacity!$A$3:$A$34,Total_wind_installed_capacity!$H$3:$H$34)</f>
        <v>741.39724999999999</v>
      </c>
      <c r="G251" s="18" t="s">
        <v>27</v>
      </c>
      <c r="H251" s="13" t="s">
        <v>33</v>
      </c>
      <c r="I251" s="18" t="s">
        <v>224</v>
      </c>
      <c r="J251" s="19">
        <v>3196</v>
      </c>
      <c r="K251" s="19">
        <v>1</v>
      </c>
      <c r="L251" s="19">
        <f t="shared" si="128"/>
        <v>3196</v>
      </c>
      <c r="N251" s="13" t="s">
        <v>24</v>
      </c>
      <c r="O251" s="13">
        <v>123</v>
      </c>
      <c r="P251" s="13">
        <v>120</v>
      </c>
      <c r="Q251" s="52" t="s">
        <v>35</v>
      </c>
      <c r="R251" s="22">
        <f t="shared" si="112"/>
        <v>0</v>
      </c>
      <c r="V251" s="6">
        <f t="shared" si="124"/>
        <v>0</v>
      </c>
      <c r="W251" s="25"/>
      <c r="AC251" s="25">
        <f t="shared" si="131"/>
        <v>0</v>
      </c>
      <c r="AE251" s="32">
        <v>2516000</v>
      </c>
      <c r="AG251" s="25">
        <f t="shared" si="126"/>
        <v>0.7872340425531914</v>
      </c>
      <c r="AI251" s="27">
        <f t="shared" si="127"/>
        <v>0.28379021000475541</v>
      </c>
      <c r="AJ251" s="20">
        <f t="shared" si="129"/>
        <v>7945263.1578947371</v>
      </c>
      <c r="AL251" s="13">
        <v>20</v>
      </c>
      <c r="AM251" s="20">
        <f t="shared" si="118"/>
        <v>158905263.15789473</v>
      </c>
      <c r="AN251" s="20">
        <f t="shared" si="122"/>
        <v>49720044.792833142</v>
      </c>
      <c r="AS251" s="6">
        <f t="shared" si="105"/>
        <v>0</v>
      </c>
      <c r="AU251" s="25"/>
      <c r="AW251" s="6"/>
      <c r="AX251" s="29">
        <f t="shared" si="130"/>
        <v>15.833333333333334</v>
      </c>
      <c r="AZ251" s="6">
        <v>7.6</v>
      </c>
      <c r="BA251" s="18">
        <v>19</v>
      </c>
    </row>
    <row r="252" spans="1:53">
      <c r="A252" s="17" t="str">
        <f t="shared" si="103"/>
        <v>\cite{Jung2021}</v>
      </c>
      <c r="B252" s="13" t="s">
        <v>282</v>
      </c>
      <c r="C252" s="13">
        <v>2021</v>
      </c>
      <c r="E252" s="13">
        <f t="shared" si="104"/>
        <v>2021</v>
      </c>
      <c r="F252" s="12">
        <f>LOOKUP(E252,Total_wind_installed_capacity!$A$3:$A$34,Total_wind_installed_capacity!$H$3:$H$34)</f>
        <v>741.39724999999999</v>
      </c>
      <c r="G252" s="18" t="s">
        <v>27</v>
      </c>
      <c r="H252" s="13" t="s">
        <v>33</v>
      </c>
      <c r="I252" s="18" t="s">
        <v>224</v>
      </c>
      <c r="J252" s="19">
        <v>3206</v>
      </c>
      <c r="K252" s="19">
        <v>1</v>
      </c>
      <c r="L252" s="19">
        <f t="shared" si="128"/>
        <v>3206</v>
      </c>
      <c r="N252" s="13" t="s">
        <v>24</v>
      </c>
      <c r="O252" s="13">
        <v>119</v>
      </c>
      <c r="P252" s="13">
        <v>140</v>
      </c>
      <c r="Q252" s="52" t="s">
        <v>35</v>
      </c>
      <c r="R252" s="22">
        <f t="shared" si="112"/>
        <v>0</v>
      </c>
      <c r="V252" s="6">
        <f t="shared" si="124"/>
        <v>0</v>
      </c>
      <c r="W252" s="25"/>
      <c r="AC252" s="25">
        <f t="shared" si="131"/>
        <v>0</v>
      </c>
      <c r="AE252" s="32">
        <v>2775000</v>
      </c>
      <c r="AG252" s="25">
        <f t="shared" si="126"/>
        <v>0.8655645664379289</v>
      </c>
      <c r="AI252" s="27">
        <f t="shared" si="127"/>
        <v>0.29276663840281719</v>
      </c>
      <c r="AJ252" s="20">
        <f t="shared" si="129"/>
        <v>8222222.2222222229</v>
      </c>
      <c r="AL252" s="13">
        <v>20</v>
      </c>
      <c r="AM252" s="20">
        <f t="shared" si="118"/>
        <v>164444444.44444445</v>
      </c>
      <c r="AN252" s="20">
        <f t="shared" si="122"/>
        <v>51292715.048173569</v>
      </c>
      <c r="AS252" s="6">
        <f t="shared" si="105"/>
        <v>0</v>
      </c>
      <c r="AU252" s="25"/>
      <c r="AW252" s="6"/>
      <c r="AX252" s="29">
        <f t="shared" si="130"/>
        <v>16.875</v>
      </c>
      <c r="AZ252" s="6">
        <v>8.1</v>
      </c>
      <c r="BA252" s="18">
        <v>20</v>
      </c>
    </row>
    <row r="253" spans="1:53">
      <c r="A253" s="17" t="str">
        <f t="shared" si="103"/>
        <v>\cite{Jung2021}</v>
      </c>
      <c r="B253" s="13" t="s">
        <v>282</v>
      </c>
      <c r="C253" s="13">
        <v>2021</v>
      </c>
      <c r="E253" s="13">
        <f t="shared" si="104"/>
        <v>2021</v>
      </c>
      <c r="F253" s="12">
        <f>LOOKUP(E253,Total_wind_installed_capacity!$A$3:$A$34,Total_wind_installed_capacity!$H$3:$H$34)</f>
        <v>741.39724999999999</v>
      </c>
      <c r="G253" s="18" t="s">
        <v>27</v>
      </c>
      <c r="H253" s="13" t="s">
        <v>33</v>
      </c>
      <c r="I253" s="18" t="s">
        <v>224</v>
      </c>
      <c r="J253" s="19">
        <v>3363</v>
      </c>
      <c r="K253" s="19">
        <v>1</v>
      </c>
      <c r="L253" s="19">
        <f t="shared" si="128"/>
        <v>3363</v>
      </c>
      <c r="N253" s="13" t="s">
        <v>24</v>
      </c>
      <c r="O253" s="13">
        <v>115</v>
      </c>
      <c r="P253" s="13">
        <v>80</v>
      </c>
      <c r="Q253" s="52" t="s">
        <v>35</v>
      </c>
      <c r="R253" s="22">
        <f t="shared" si="112"/>
        <v>0</v>
      </c>
      <c r="V253" s="6">
        <f t="shared" si="124"/>
        <v>0</v>
      </c>
      <c r="W253" s="25"/>
      <c r="AC253" s="25">
        <f t="shared" si="131"/>
        <v>0</v>
      </c>
      <c r="AE253" s="32">
        <v>1634000</v>
      </c>
      <c r="AG253" s="25">
        <f t="shared" si="126"/>
        <v>0.48587570621468928</v>
      </c>
      <c r="AI253" s="27">
        <f t="shared" si="127"/>
        <v>0.2079947372494389</v>
      </c>
      <c r="AJ253" s="20">
        <f t="shared" si="129"/>
        <v>6127500</v>
      </c>
      <c r="AL253" s="13">
        <v>20</v>
      </c>
      <c r="AM253" s="20">
        <f t="shared" si="118"/>
        <v>122550000</v>
      </c>
      <c r="AN253" s="20">
        <f t="shared" si="122"/>
        <v>36440677.966101691</v>
      </c>
      <c r="AS253" s="6">
        <f t="shared" si="105"/>
        <v>0</v>
      </c>
      <c r="AU253" s="25"/>
      <c r="AW253" s="6"/>
      <c r="AX253" s="29">
        <f t="shared" si="130"/>
        <v>13.333333333333334</v>
      </c>
      <c r="AZ253" s="6">
        <v>6.4</v>
      </c>
      <c r="BA253" s="18">
        <v>21</v>
      </c>
    </row>
    <row r="254" spans="1:53">
      <c r="A254" s="17" t="str">
        <f t="shared" si="103"/>
        <v>\cite{Jung2021}</v>
      </c>
      <c r="B254" s="13" t="s">
        <v>282</v>
      </c>
      <c r="C254" s="13">
        <v>2021</v>
      </c>
      <c r="E254" s="13">
        <f t="shared" si="104"/>
        <v>2021</v>
      </c>
      <c r="F254" s="12">
        <f>LOOKUP(E254,Total_wind_installed_capacity!$A$3:$A$34,Total_wind_installed_capacity!$H$3:$H$34)</f>
        <v>741.39724999999999</v>
      </c>
      <c r="G254" s="18" t="s">
        <v>27</v>
      </c>
      <c r="H254" s="13" t="s">
        <v>33</v>
      </c>
      <c r="I254" s="18" t="s">
        <v>224</v>
      </c>
      <c r="J254" s="19">
        <v>3309</v>
      </c>
      <c r="K254" s="19">
        <v>1</v>
      </c>
      <c r="L254" s="19">
        <f t="shared" si="128"/>
        <v>3309</v>
      </c>
      <c r="N254" s="13" t="s">
        <v>24</v>
      </c>
      <c r="O254" s="13">
        <v>111</v>
      </c>
      <c r="P254" s="13">
        <v>100</v>
      </c>
      <c r="Q254" s="52" t="s">
        <v>35</v>
      </c>
      <c r="R254" s="22">
        <f t="shared" si="112"/>
        <v>0</v>
      </c>
      <c r="V254" s="6">
        <f t="shared" si="124"/>
        <v>0</v>
      </c>
      <c r="W254" s="25"/>
      <c r="AC254" s="25">
        <f t="shared" si="131"/>
        <v>0</v>
      </c>
      <c r="AE254" s="32">
        <v>1891000</v>
      </c>
      <c r="AG254" s="25">
        <f t="shared" si="126"/>
        <v>0.57147174372922338</v>
      </c>
      <c r="AI254" s="27">
        <f t="shared" si="127"/>
        <v>0.23722363791167428</v>
      </c>
      <c r="AJ254" s="20">
        <f t="shared" si="129"/>
        <v>6876363.6363636367</v>
      </c>
      <c r="AL254" s="13">
        <v>20</v>
      </c>
      <c r="AM254" s="20">
        <f t="shared" si="118"/>
        <v>137527272.72727275</v>
      </c>
      <c r="AN254" s="20">
        <f t="shared" si="122"/>
        <v>41561581.362125337</v>
      </c>
      <c r="AS254" s="6">
        <f t="shared" si="105"/>
        <v>0</v>
      </c>
      <c r="AU254" s="25"/>
      <c r="AW254" s="6"/>
      <c r="AX254" s="29">
        <f t="shared" si="130"/>
        <v>13.749999999999998</v>
      </c>
      <c r="AZ254" s="6">
        <v>6.6</v>
      </c>
      <c r="BA254" s="18">
        <v>22</v>
      </c>
    </row>
    <row r="255" spans="1:53">
      <c r="A255" s="17" t="str">
        <f t="shared" si="103"/>
        <v>\cite{Jung2021}</v>
      </c>
      <c r="B255" s="13" t="s">
        <v>282</v>
      </c>
      <c r="C255" s="13">
        <v>2021</v>
      </c>
      <c r="E255" s="13">
        <f t="shared" si="104"/>
        <v>2021</v>
      </c>
      <c r="F255" s="12">
        <f>LOOKUP(E255,Total_wind_installed_capacity!$A$3:$A$34,Total_wind_installed_capacity!$H$3:$H$34)</f>
        <v>741.39724999999999</v>
      </c>
      <c r="G255" s="18" t="s">
        <v>27</v>
      </c>
      <c r="H255" s="13" t="s">
        <v>33</v>
      </c>
      <c r="I255" s="18" t="s">
        <v>224</v>
      </c>
      <c r="J255" s="19">
        <v>3313</v>
      </c>
      <c r="K255" s="19">
        <v>1</v>
      </c>
      <c r="L255" s="19">
        <f t="shared" si="128"/>
        <v>3313</v>
      </c>
      <c r="N255" s="13" t="s">
        <v>24</v>
      </c>
      <c r="O255" s="13">
        <v>118</v>
      </c>
      <c r="P255" s="13">
        <v>120</v>
      </c>
      <c r="Q255" s="52" t="s">
        <v>35</v>
      </c>
      <c r="R255" s="22">
        <f t="shared" si="112"/>
        <v>0</v>
      </c>
      <c r="V255" s="6">
        <f t="shared" si="124"/>
        <v>0</v>
      </c>
      <c r="W255" s="25"/>
      <c r="AC255" s="25">
        <f t="shared" si="131"/>
        <v>0</v>
      </c>
      <c r="AE255" s="32">
        <v>2384000</v>
      </c>
      <c r="AG255" s="25">
        <f t="shared" si="126"/>
        <v>0.71958949592514343</v>
      </c>
      <c r="AI255" s="27">
        <f t="shared" si="127"/>
        <v>0.27767296775039296</v>
      </c>
      <c r="AJ255" s="20">
        <f t="shared" si="129"/>
        <v>8058591.5492957747</v>
      </c>
      <c r="AL255" s="13">
        <v>20</v>
      </c>
      <c r="AM255" s="20">
        <f t="shared" si="118"/>
        <v>161171830.98591548</v>
      </c>
      <c r="AN255" s="20">
        <f t="shared" si="122"/>
        <v>48648303.949868843</v>
      </c>
      <c r="AS255" s="6">
        <f t="shared" si="105"/>
        <v>0</v>
      </c>
      <c r="AU255" s="25"/>
      <c r="AW255" s="6"/>
      <c r="AX255" s="29">
        <f t="shared" si="130"/>
        <v>14.791666666666668</v>
      </c>
      <c r="AZ255" s="6">
        <v>7.1</v>
      </c>
      <c r="BA255" s="18">
        <v>23</v>
      </c>
    </row>
    <row r="256" spans="1:53">
      <c r="A256" s="17" t="str">
        <f t="shared" si="103"/>
        <v>\cite{Jung2021}</v>
      </c>
      <c r="B256" s="13" t="s">
        <v>282</v>
      </c>
      <c r="C256" s="13">
        <v>2021</v>
      </c>
      <c r="E256" s="13">
        <f t="shared" si="104"/>
        <v>2021</v>
      </c>
      <c r="F256" s="12">
        <f>LOOKUP(E256,Total_wind_installed_capacity!$A$3:$A$34,Total_wind_installed_capacity!$H$3:$H$34)</f>
        <v>741.39724999999999</v>
      </c>
      <c r="G256" s="18" t="s">
        <v>27</v>
      </c>
      <c r="H256" s="13" t="s">
        <v>33</v>
      </c>
      <c r="I256" s="18" t="s">
        <v>224</v>
      </c>
      <c r="J256" s="19">
        <v>3313</v>
      </c>
      <c r="K256" s="19">
        <v>1</v>
      </c>
      <c r="L256" s="19">
        <f t="shared" si="128"/>
        <v>3313</v>
      </c>
      <c r="N256" s="13" t="s">
        <v>24</v>
      </c>
      <c r="O256" s="13">
        <v>120</v>
      </c>
      <c r="P256" s="13">
        <v>140</v>
      </c>
      <c r="Q256" s="52" t="s">
        <v>35</v>
      </c>
      <c r="R256" s="22">
        <f t="shared" si="112"/>
        <v>0</v>
      </c>
      <c r="V256" s="6">
        <f t="shared" si="124"/>
        <v>0</v>
      </c>
      <c r="W256" s="25"/>
      <c r="AC256" s="25">
        <f t="shared" si="131"/>
        <v>0</v>
      </c>
      <c r="AE256" s="32">
        <v>2764000</v>
      </c>
      <c r="AG256" s="25">
        <f t="shared" si="126"/>
        <v>0.83428916389978869</v>
      </c>
      <c r="AI256" s="27">
        <f t="shared" si="127"/>
        <v>0.30075312325154602</v>
      </c>
      <c r="AJ256" s="20">
        <f t="shared" si="129"/>
        <v>8728421.0526315793</v>
      </c>
      <c r="AL256" s="13">
        <v>20</v>
      </c>
      <c r="AM256" s="20">
        <f t="shared" si="118"/>
        <v>174568421.05263159</v>
      </c>
      <c r="AN256" s="20">
        <f t="shared" ref="AN256:AN269" si="132">AM256/L256*1000</f>
        <v>52691947.193670861</v>
      </c>
      <c r="AS256" s="6">
        <f t="shared" si="105"/>
        <v>0</v>
      </c>
      <c r="AU256" s="25"/>
      <c r="AW256" s="6"/>
      <c r="AX256" s="29">
        <f t="shared" si="130"/>
        <v>15.833333333333332</v>
      </c>
      <c r="AZ256" s="6">
        <v>7.6</v>
      </c>
      <c r="BA256" s="18">
        <v>24</v>
      </c>
    </row>
    <row r="257" spans="1:53">
      <c r="A257" s="17" t="str">
        <f t="shared" si="103"/>
        <v>\cite{Jung2021}</v>
      </c>
      <c r="B257" s="13" t="s">
        <v>282</v>
      </c>
      <c r="C257" s="13">
        <v>2021</v>
      </c>
      <c r="E257" s="13">
        <f t="shared" si="104"/>
        <v>2021</v>
      </c>
      <c r="F257" s="12">
        <f>LOOKUP(E257,Total_wind_installed_capacity!$A$3:$A$34,Total_wind_installed_capacity!$H$3:$H$34)</f>
        <v>741.39724999999999</v>
      </c>
      <c r="G257" s="18" t="s">
        <v>27</v>
      </c>
      <c r="H257" s="13" t="s">
        <v>33</v>
      </c>
      <c r="I257" s="18" t="s">
        <v>224</v>
      </c>
      <c r="J257" s="19">
        <v>3568</v>
      </c>
      <c r="K257" s="19">
        <v>1</v>
      </c>
      <c r="L257" s="19">
        <f t="shared" si="128"/>
        <v>3568</v>
      </c>
      <c r="N257" s="13" t="s">
        <v>24</v>
      </c>
      <c r="O257" s="13">
        <v>121</v>
      </c>
      <c r="P257" s="13">
        <v>80</v>
      </c>
      <c r="Q257" s="52" t="s">
        <v>35</v>
      </c>
      <c r="R257" s="22">
        <f t="shared" si="112"/>
        <v>0</v>
      </c>
      <c r="V257" s="6">
        <f t="shared" si="124"/>
        <v>0</v>
      </c>
      <c r="W257" s="25"/>
      <c r="AC257" s="25">
        <f t="shared" si="131"/>
        <v>0</v>
      </c>
      <c r="AE257" s="32">
        <v>1747000</v>
      </c>
      <c r="AG257" s="25">
        <f t="shared" si="126"/>
        <v>0.48963004484304934</v>
      </c>
      <c r="AI257" s="27">
        <f t="shared" si="127"/>
        <v>0.21636325446003063</v>
      </c>
      <c r="AJ257" s="20">
        <f t="shared" si="129"/>
        <v>6762580.6451612897</v>
      </c>
      <c r="AL257" s="13">
        <v>20</v>
      </c>
      <c r="AM257" s="20">
        <f t="shared" si="118"/>
        <v>135251612.90322578</v>
      </c>
      <c r="AN257" s="20">
        <f t="shared" si="132"/>
        <v>37906842.181397364</v>
      </c>
      <c r="AS257" s="6">
        <f t="shared" si="105"/>
        <v>0</v>
      </c>
      <c r="AU257" s="25"/>
      <c r="AW257" s="6"/>
      <c r="AX257" s="29">
        <f t="shared" si="130"/>
        <v>12.91666666666667</v>
      </c>
      <c r="AZ257" s="6">
        <v>6.2</v>
      </c>
      <c r="BA257" s="18">
        <v>25</v>
      </c>
    </row>
    <row r="258" spans="1:53">
      <c r="A258" s="17" t="str">
        <f t="shared" si="103"/>
        <v>\cite{Jung2021}</v>
      </c>
      <c r="B258" s="13" t="s">
        <v>282</v>
      </c>
      <c r="C258" s="13">
        <v>2021</v>
      </c>
      <c r="E258" s="13">
        <f t="shared" si="104"/>
        <v>2021</v>
      </c>
      <c r="F258" s="12">
        <f>LOOKUP(E258,Total_wind_installed_capacity!$A$3:$A$34,Total_wind_installed_capacity!$H$3:$H$34)</f>
        <v>741.39724999999999</v>
      </c>
      <c r="G258" s="18" t="s">
        <v>27</v>
      </c>
      <c r="H258" s="13" t="s">
        <v>33</v>
      </c>
      <c r="I258" s="18" t="s">
        <v>224</v>
      </c>
      <c r="J258" s="19">
        <v>3551</v>
      </c>
      <c r="K258" s="19">
        <v>1</v>
      </c>
      <c r="L258" s="19">
        <f t="shared" si="128"/>
        <v>3551</v>
      </c>
      <c r="N258" s="13" t="s">
        <v>24</v>
      </c>
      <c r="O258" s="13">
        <v>117</v>
      </c>
      <c r="P258" s="13">
        <v>100</v>
      </c>
      <c r="Q258" s="52" t="s">
        <v>35</v>
      </c>
      <c r="R258" s="22">
        <f t="shared" si="112"/>
        <v>0</v>
      </c>
      <c r="V258" s="6">
        <f t="shared" si="124"/>
        <v>0</v>
      </c>
      <c r="W258" s="25"/>
      <c r="AC258" s="25">
        <f t="shared" si="131"/>
        <v>0</v>
      </c>
      <c r="AE258" s="32">
        <v>2015000</v>
      </c>
      <c r="AG258" s="25">
        <f t="shared" si="126"/>
        <v>0.56744578991833283</v>
      </c>
      <c r="AI258" s="27">
        <f t="shared" si="127"/>
        <v>0.23555242420852343</v>
      </c>
      <c r="AJ258" s="20">
        <f t="shared" si="129"/>
        <v>7327272.7272727275</v>
      </c>
      <c r="AL258" s="13">
        <v>20</v>
      </c>
      <c r="AM258" s="20">
        <f t="shared" si="118"/>
        <v>146545454.54545456</v>
      </c>
      <c r="AN258" s="20">
        <f t="shared" si="132"/>
        <v>41268784.721333303</v>
      </c>
      <c r="AS258" s="6">
        <f t="shared" si="105"/>
        <v>0</v>
      </c>
      <c r="AU258" s="25"/>
      <c r="AW258" s="6"/>
      <c r="AX258" s="29">
        <f t="shared" si="130"/>
        <v>13.749999999999998</v>
      </c>
      <c r="AZ258" s="6">
        <v>6.6</v>
      </c>
      <c r="BA258" s="18">
        <v>26</v>
      </c>
    </row>
    <row r="259" spans="1:53">
      <c r="A259" s="17" t="str">
        <f t="shared" ref="A259:A301" si="133">CONCATENATE("\cite{",B259,C259,"}")</f>
        <v>\cite{Jung2021}</v>
      </c>
      <c r="B259" s="13" t="s">
        <v>282</v>
      </c>
      <c r="C259" s="13">
        <v>2021</v>
      </c>
      <c r="E259" s="13">
        <f t="shared" ref="E259:E301" si="134">IF(D259&gt;0,D259,C259)</f>
        <v>2021</v>
      </c>
      <c r="F259" s="12">
        <f>LOOKUP(E259,Total_wind_installed_capacity!$A$3:$A$34,Total_wind_installed_capacity!$H$3:$H$34)</f>
        <v>741.39724999999999</v>
      </c>
      <c r="G259" s="18" t="s">
        <v>27</v>
      </c>
      <c r="H259" s="13" t="s">
        <v>33</v>
      </c>
      <c r="I259" s="18" t="s">
        <v>224</v>
      </c>
      <c r="J259" s="19">
        <v>3550</v>
      </c>
      <c r="K259" s="19">
        <v>1</v>
      </c>
      <c r="L259" s="19">
        <f t="shared" si="128"/>
        <v>3550</v>
      </c>
      <c r="N259" s="13" t="s">
        <v>24</v>
      </c>
      <c r="O259" s="13">
        <v>125</v>
      </c>
      <c r="P259" s="13">
        <v>120</v>
      </c>
      <c r="Q259" s="52" t="s">
        <v>35</v>
      </c>
      <c r="R259" s="22">
        <f t="shared" si="112"/>
        <v>0</v>
      </c>
      <c r="V259" s="6">
        <f t="shared" si="124"/>
        <v>0</v>
      </c>
      <c r="W259" s="25"/>
      <c r="AC259" s="25">
        <f t="shared" si="131"/>
        <v>0</v>
      </c>
      <c r="AE259" s="32">
        <v>2574000</v>
      </c>
      <c r="AG259" s="25">
        <f t="shared" si="126"/>
        <v>0.72507042253521126</v>
      </c>
      <c r="AI259" s="27">
        <f t="shared" si="127"/>
        <v>0.27590198726606213</v>
      </c>
      <c r="AJ259" s="20">
        <f t="shared" si="129"/>
        <v>8580000</v>
      </c>
      <c r="AL259" s="13">
        <v>20</v>
      </c>
      <c r="AM259" s="20">
        <f t="shared" si="118"/>
        <v>171600000</v>
      </c>
      <c r="AN259" s="20">
        <f t="shared" si="132"/>
        <v>48338028.169014081</v>
      </c>
      <c r="AS259" s="6">
        <f t="shared" ref="AS259:AS270" si="135">R259/AM259</f>
        <v>0</v>
      </c>
      <c r="AU259" s="25"/>
      <c r="AW259" s="6"/>
      <c r="AX259" s="29">
        <f t="shared" si="130"/>
        <v>15</v>
      </c>
      <c r="AZ259" s="6">
        <v>7.2</v>
      </c>
      <c r="BA259" s="18">
        <v>27</v>
      </c>
    </row>
    <row r="260" spans="1:53">
      <c r="A260" s="17" t="str">
        <f t="shared" si="133"/>
        <v>\cite{Jung2021}</v>
      </c>
      <c r="B260" s="13" t="s">
        <v>282</v>
      </c>
      <c r="C260" s="13">
        <v>2021</v>
      </c>
      <c r="E260" s="13">
        <f t="shared" si="134"/>
        <v>2021</v>
      </c>
      <c r="F260" s="12">
        <f>LOOKUP(E260,Total_wind_installed_capacity!$A$3:$A$34,Total_wind_installed_capacity!$H$3:$H$34)</f>
        <v>741.39724999999999</v>
      </c>
      <c r="G260" s="18" t="s">
        <v>27</v>
      </c>
      <c r="H260" s="13" t="s">
        <v>33</v>
      </c>
      <c r="I260" s="18" t="s">
        <v>224</v>
      </c>
      <c r="J260" s="19">
        <v>3569</v>
      </c>
      <c r="K260" s="19">
        <v>1</v>
      </c>
      <c r="L260" s="19">
        <f t="shared" si="128"/>
        <v>3569</v>
      </c>
      <c r="N260" s="13" t="s">
        <v>24</v>
      </c>
      <c r="O260" s="13">
        <v>129</v>
      </c>
      <c r="P260" s="13">
        <v>140</v>
      </c>
      <c r="Q260" s="52" t="s">
        <v>35</v>
      </c>
      <c r="R260" s="22">
        <f t="shared" si="112"/>
        <v>0</v>
      </c>
      <c r="V260" s="6">
        <f t="shared" si="124"/>
        <v>0</v>
      </c>
      <c r="W260" s="25"/>
      <c r="AC260" s="25">
        <f t="shared" si="131"/>
        <v>0</v>
      </c>
      <c r="AE260" s="32">
        <v>3042000</v>
      </c>
      <c r="AG260" s="25">
        <f t="shared" si="126"/>
        <v>0.85233959092182676</v>
      </c>
      <c r="AI260" s="27">
        <f t="shared" si="127"/>
        <v>0.30326973525060552</v>
      </c>
      <c r="AJ260" s="20">
        <f t="shared" si="129"/>
        <v>9481558.4415584411</v>
      </c>
      <c r="AL260" s="13">
        <v>20</v>
      </c>
      <c r="AM260" s="20">
        <f t="shared" si="118"/>
        <v>189631168.83116883</v>
      </c>
      <c r="AN260" s="20">
        <f t="shared" si="132"/>
        <v>53132857.61590609</v>
      </c>
      <c r="AS260" s="6">
        <f t="shared" si="135"/>
        <v>0</v>
      </c>
      <c r="AU260" s="25"/>
      <c r="AW260" s="6"/>
      <c r="AX260" s="29">
        <f t="shared" si="130"/>
        <v>16.041666666666668</v>
      </c>
      <c r="AZ260" s="6">
        <v>7.7</v>
      </c>
      <c r="BA260" s="18">
        <v>28</v>
      </c>
    </row>
    <row r="261" spans="1:53">
      <c r="A261" s="17" t="str">
        <f t="shared" si="133"/>
        <v>\cite{Jung2021}</v>
      </c>
      <c r="B261" s="13" t="s">
        <v>282</v>
      </c>
      <c r="C261" s="13">
        <v>2021</v>
      </c>
      <c r="E261" s="13">
        <f t="shared" si="134"/>
        <v>2021</v>
      </c>
      <c r="F261" s="12">
        <f>LOOKUP(E261,Total_wind_installed_capacity!$A$3:$A$34,Total_wind_installed_capacity!$H$3:$H$34)</f>
        <v>741.39724999999999</v>
      </c>
      <c r="G261" s="18" t="s">
        <v>27</v>
      </c>
      <c r="H261" s="13" t="s">
        <v>33</v>
      </c>
      <c r="I261" s="18" t="s">
        <v>224</v>
      </c>
      <c r="J261" s="19">
        <v>3553</v>
      </c>
      <c r="K261" s="19">
        <v>1</v>
      </c>
      <c r="L261" s="19">
        <f t="shared" si="128"/>
        <v>3553</v>
      </c>
      <c r="N261" s="13" t="s">
        <v>24</v>
      </c>
      <c r="O261" s="13">
        <v>128</v>
      </c>
      <c r="P261" s="13">
        <v>160</v>
      </c>
      <c r="Q261" s="52" t="s">
        <v>35</v>
      </c>
      <c r="R261" s="22">
        <f t="shared" si="112"/>
        <v>0</v>
      </c>
      <c r="V261" s="6">
        <f t="shared" si="124"/>
        <v>0</v>
      </c>
      <c r="W261" s="25"/>
      <c r="AC261" s="25">
        <f t="shared" si="131"/>
        <v>0</v>
      </c>
      <c r="AE261" s="32">
        <v>3370000</v>
      </c>
      <c r="AG261" s="25">
        <f t="shared" si="126"/>
        <v>0.9484942302279763</v>
      </c>
      <c r="AI261" s="27">
        <f t="shared" si="127"/>
        <v>0.3169041865111849</v>
      </c>
      <c r="AJ261" s="20">
        <f t="shared" si="129"/>
        <v>9863414.6341463421</v>
      </c>
      <c r="AL261" s="13">
        <v>20</v>
      </c>
      <c r="AM261" s="20">
        <f t="shared" si="118"/>
        <v>197268292.68292683</v>
      </c>
      <c r="AN261" s="20">
        <f t="shared" si="132"/>
        <v>55521613.476759598</v>
      </c>
      <c r="AS261" s="6">
        <f t="shared" si="135"/>
        <v>0</v>
      </c>
      <c r="AU261" s="25"/>
      <c r="AW261" s="6"/>
      <c r="AX261" s="29">
        <f t="shared" si="130"/>
        <v>17.083333333333332</v>
      </c>
      <c r="AZ261" s="6">
        <v>8.1999999999999993</v>
      </c>
      <c r="BA261" s="18">
        <v>29</v>
      </c>
    </row>
    <row r="262" spans="1:53">
      <c r="A262" s="17" t="str">
        <f t="shared" si="133"/>
        <v>\cite{Jung2021}</v>
      </c>
      <c r="B262" s="13" t="s">
        <v>282</v>
      </c>
      <c r="C262" s="13">
        <v>2021</v>
      </c>
      <c r="E262" s="13">
        <f t="shared" si="134"/>
        <v>2021</v>
      </c>
      <c r="F262" s="12">
        <f>LOOKUP(E262,Total_wind_installed_capacity!$A$3:$A$34,Total_wind_installed_capacity!$H$3:$H$34)</f>
        <v>741.39724999999999</v>
      </c>
      <c r="G262" s="18" t="s">
        <v>27</v>
      </c>
      <c r="H262" s="13" t="s">
        <v>33</v>
      </c>
      <c r="I262" s="18" t="s">
        <v>224</v>
      </c>
      <c r="J262" s="19">
        <v>4201</v>
      </c>
      <c r="K262" s="19">
        <v>1</v>
      </c>
      <c r="L262" s="19">
        <f t="shared" si="128"/>
        <v>4201</v>
      </c>
      <c r="N262" s="13" t="s">
        <v>24</v>
      </c>
      <c r="O262" s="13">
        <v>134</v>
      </c>
      <c r="P262" s="13">
        <v>100</v>
      </c>
      <c r="Q262" s="52" t="s">
        <v>35</v>
      </c>
      <c r="R262" s="22">
        <f t="shared" si="112"/>
        <v>0</v>
      </c>
      <c r="V262" s="6">
        <f t="shared" si="124"/>
        <v>0</v>
      </c>
      <c r="W262" s="25"/>
      <c r="AC262" s="25">
        <f t="shared" si="131"/>
        <v>0</v>
      </c>
      <c r="AE262" s="32">
        <v>2407000</v>
      </c>
      <c r="AG262" s="25">
        <f t="shared" si="126"/>
        <v>0.57295881932873127</v>
      </c>
      <c r="AI262" s="27">
        <f t="shared" si="127"/>
        <v>0.24150002922180452</v>
      </c>
      <c r="AJ262" s="20">
        <f t="shared" si="129"/>
        <v>8887384.615384616</v>
      </c>
      <c r="AL262" s="13">
        <v>20</v>
      </c>
      <c r="AM262" s="20">
        <f t="shared" si="118"/>
        <v>177747692.30769232</v>
      </c>
      <c r="AN262" s="20">
        <f t="shared" si="132"/>
        <v>42310805.119660161</v>
      </c>
      <c r="AS262" s="6">
        <f t="shared" si="135"/>
        <v>0</v>
      </c>
      <c r="AU262" s="25"/>
      <c r="AW262" s="6"/>
      <c r="AX262" s="29">
        <f t="shared" si="130"/>
        <v>13.541666666666666</v>
      </c>
      <c r="AZ262" s="6">
        <v>6.5</v>
      </c>
      <c r="BA262" s="18">
        <v>30</v>
      </c>
    </row>
    <row r="263" spans="1:53">
      <c r="A263" s="17" t="str">
        <f t="shared" si="133"/>
        <v>\cite{Jung2021}</v>
      </c>
      <c r="B263" s="13" t="s">
        <v>282</v>
      </c>
      <c r="C263" s="13">
        <v>2021</v>
      </c>
      <c r="E263" s="13">
        <f t="shared" si="134"/>
        <v>2021</v>
      </c>
      <c r="F263" s="12">
        <f>LOOKUP(E263,Total_wind_installed_capacity!$A$3:$A$34,Total_wind_installed_capacity!$H$3:$H$34)</f>
        <v>741.39724999999999</v>
      </c>
      <c r="G263" s="18" t="s">
        <v>27</v>
      </c>
      <c r="H263" s="13" t="s">
        <v>33</v>
      </c>
      <c r="I263" s="18" t="s">
        <v>224</v>
      </c>
      <c r="J263" s="19">
        <v>4202</v>
      </c>
      <c r="K263" s="19">
        <v>1</v>
      </c>
      <c r="L263" s="19">
        <f t="shared" si="128"/>
        <v>4202</v>
      </c>
      <c r="N263" s="13" t="s">
        <v>24</v>
      </c>
      <c r="O263" s="13">
        <v>141</v>
      </c>
      <c r="P263" s="13">
        <v>120</v>
      </c>
      <c r="Q263" s="52" t="s">
        <v>35</v>
      </c>
      <c r="R263" s="22">
        <f t="shared" si="112"/>
        <v>0</v>
      </c>
      <c r="V263" s="6">
        <f t="shared" si="124"/>
        <v>0</v>
      </c>
      <c r="W263" s="25"/>
      <c r="AC263" s="25">
        <f t="shared" si="131"/>
        <v>0</v>
      </c>
      <c r="AE263" s="32">
        <v>2992000</v>
      </c>
      <c r="AG263" s="25">
        <f t="shared" si="126"/>
        <v>0.71204188481675401</v>
      </c>
      <c r="AI263" s="27">
        <f t="shared" si="127"/>
        <v>0.27868566920420901</v>
      </c>
      <c r="AJ263" s="20">
        <f t="shared" si="129"/>
        <v>10258285.714285715</v>
      </c>
      <c r="AL263" s="13">
        <v>20</v>
      </c>
      <c r="AM263" s="20">
        <f t="shared" si="118"/>
        <v>205165714.2857143</v>
      </c>
      <c r="AN263" s="20">
        <f t="shared" si="132"/>
        <v>48825729.244577415</v>
      </c>
      <c r="AS263" s="6">
        <f t="shared" si="135"/>
        <v>0</v>
      </c>
      <c r="AU263" s="25"/>
      <c r="AW263" s="6"/>
      <c r="AX263" s="29">
        <f t="shared" si="130"/>
        <v>14.583333333333332</v>
      </c>
      <c r="AZ263" s="6">
        <v>7</v>
      </c>
      <c r="BA263" s="18">
        <v>31</v>
      </c>
    </row>
    <row r="264" spans="1:53">
      <c r="A264" s="17" t="str">
        <f t="shared" si="133"/>
        <v>\cite{Jung2021}</v>
      </c>
      <c r="B264" s="13" t="s">
        <v>282</v>
      </c>
      <c r="C264" s="13">
        <v>2021</v>
      </c>
      <c r="E264" s="13">
        <f t="shared" si="134"/>
        <v>2021</v>
      </c>
      <c r="F264" s="12">
        <f>LOOKUP(E264,Total_wind_installed_capacity!$A$3:$A$34,Total_wind_installed_capacity!$H$3:$H$34)</f>
        <v>741.39724999999999</v>
      </c>
      <c r="G264" s="18" t="s">
        <v>27</v>
      </c>
      <c r="H264" s="13" t="s">
        <v>33</v>
      </c>
      <c r="I264" s="18" t="s">
        <v>224</v>
      </c>
      <c r="J264" s="19">
        <v>4201</v>
      </c>
      <c r="K264" s="19">
        <v>1</v>
      </c>
      <c r="L264" s="19">
        <f t="shared" si="128"/>
        <v>4201</v>
      </c>
      <c r="N264" s="13" t="s">
        <v>24</v>
      </c>
      <c r="O264" s="13">
        <v>134</v>
      </c>
      <c r="P264" s="13">
        <v>140</v>
      </c>
      <c r="Q264" s="52" t="s">
        <v>35</v>
      </c>
      <c r="R264" s="22">
        <f t="shared" si="112"/>
        <v>0</v>
      </c>
      <c r="V264" s="6">
        <f t="shared" si="124"/>
        <v>0</v>
      </c>
      <c r="W264" s="25"/>
      <c r="AC264" s="25">
        <f t="shared" si="131"/>
        <v>0</v>
      </c>
      <c r="AE264" s="32">
        <v>3193000</v>
      </c>
      <c r="AG264" s="25">
        <f t="shared" si="126"/>
        <v>0.7600571292549394</v>
      </c>
      <c r="AI264" s="27">
        <f t="shared" si="127"/>
        <v>0.2776464399104801</v>
      </c>
      <c r="AJ264" s="20">
        <f t="shared" si="129"/>
        <v>10217600</v>
      </c>
      <c r="AL264" s="13">
        <v>20</v>
      </c>
      <c r="AM264" s="20">
        <f t="shared" si="118"/>
        <v>204352000</v>
      </c>
      <c r="AN264" s="20">
        <f t="shared" si="132"/>
        <v>48643656.272316121</v>
      </c>
      <c r="AS264" s="6">
        <f t="shared" si="135"/>
        <v>0</v>
      </c>
      <c r="AU264" s="25"/>
      <c r="AW264" s="6"/>
      <c r="AX264" s="29">
        <f t="shared" si="130"/>
        <v>15.625</v>
      </c>
      <c r="AZ264" s="6">
        <v>7.5</v>
      </c>
      <c r="BA264" s="18">
        <v>32</v>
      </c>
    </row>
    <row r="265" spans="1:53">
      <c r="A265" s="17" t="str">
        <f t="shared" si="133"/>
        <v>\cite{Jung2021}</v>
      </c>
      <c r="B265" s="13" t="s">
        <v>282</v>
      </c>
      <c r="C265" s="13">
        <v>2021</v>
      </c>
      <c r="E265" s="13">
        <f t="shared" si="134"/>
        <v>2021</v>
      </c>
      <c r="F265" s="12">
        <f>LOOKUP(E265,Total_wind_installed_capacity!$A$3:$A$34,Total_wind_installed_capacity!$H$3:$H$34)</f>
        <v>741.39724999999999</v>
      </c>
      <c r="G265" s="18" t="s">
        <v>27</v>
      </c>
      <c r="H265" s="13" t="s">
        <v>33</v>
      </c>
      <c r="I265" s="18" t="s">
        <v>224</v>
      </c>
      <c r="J265" s="19">
        <v>4201</v>
      </c>
      <c r="K265" s="19">
        <v>1</v>
      </c>
      <c r="L265" s="19">
        <f t="shared" si="128"/>
        <v>4201</v>
      </c>
      <c r="N265" s="13" t="s">
        <v>24</v>
      </c>
      <c r="O265" s="13">
        <v>134</v>
      </c>
      <c r="P265" s="13">
        <v>160</v>
      </c>
      <c r="Q265" s="52" t="s">
        <v>35</v>
      </c>
      <c r="R265" s="22">
        <f t="shared" si="112"/>
        <v>0</v>
      </c>
      <c r="V265" s="6">
        <f t="shared" si="124"/>
        <v>0</v>
      </c>
      <c r="W265" s="25"/>
      <c r="AC265" s="25">
        <f t="shared" si="131"/>
        <v>0</v>
      </c>
      <c r="AE265" s="32">
        <v>3572000</v>
      </c>
      <c r="AG265" s="25">
        <f t="shared" si="126"/>
        <v>0.8502737443465842</v>
      </c>
      <c r="AI265" s="27">
        <f t="shared" si="127"/>
        <v>0.29487558326567859</v>
      </c>
      <c r="AJ265" s="20">
        <f t="shared" si="129"/>
        <v>10851645.569620254</v>
      </c>
      <c r="AL265" s="13">
        <v>20</v>
      </c>
      <c r="AM265" s="20">
        <f t="shared" si="118"/>
        <v>217032911.39240506</v>
      </c>
      <c r="AN265" s="20">
        <f t="shared" si="132"/>
        <v>51662202.188146882</v>
      </c>
      <c r="AS265" s="6">
        <f t="shared" si="135"/>
        <v>0</v>
      </c>
      <c r="AU265" s="25"/>
      <c r="AW265" s="6"/>
      <c r="AX265" s="29">
        <f t="shared" si="130"/>
        <v>16.458333333333332</v>
      </c>
      <c r="AZ265" s="6">
        <v>7.9</v>
      </c>
      <c r="BA265" s="18">
        <v>33</v>
      </c>
    </row>
    <row r="266" spans="1:53">
      <c r="A266" s="17" t="str">
        <f t="shared" si="133"/>
        <v>\cite{Raugei2018}</v>
      </c>
      <c r="B266" s="13" t="s">
        <v>29</v>
      </c>
      <c r="C266" s="13">
        <v>2018</v>
      </c>
      <c r="E266" s="13">
        <f t="shared" si="134"/>
        <v>2018</v>
      </c>
      <c r="F266" s="12">
        <f>LOOKUP(E266,Total_wind_installed_capacity!$A$3:$A$34,Total_wind_installed_capacity!$H$3:$H$34)</f>
        <v>580.40440000000001</v>
      </c>
      <c r="G266" s="18" t="s">
        <v>27</v>
      </c>
      <c r="H266" s="13" t="s">
        <v>33</v>
      </c>
      <c r="J266" s="19">
        <f>L266/K266</f>
        <v>1000</v>
      </c>
      <c r="K266" s="19">
        <v>1</v>
      </c>
      <c r="L266" s="19">
        <v>1000</v>
      </c>
      <c r="N266" s="13" t="s">
        <v>24</v>
      </c>
      <c r="Q266" s="52" t="s">
        <v>35</v>
      </c>
      <c r="R266" s="22">
        <f>AS266*AM266</f>
        <v>9195600</v>
      </c>
      <c r="V266" s="6">
        <f t="shared" si="124"/>
        <v>9.1956000000000007</v>
      </c>
      <c r="W266" s="25"/>
      <c r="AC266" s="25">
        <f t="shared" si="131"/>
        <v>1.746E-2</v>
      </c>
      <c r="AE266" s="32">
        <f>AX266*$AM266/1000</f>
        <v>0</v>
      </c>
      <c r="AG266" s="25">
        <f t="shared" si="126"/>
        <v>0</v>
      </c>
      <c r="AI266" s="27">
        <v>0.251</v>
      </c>
      <c r="AJ266" s="20">
        <f>AM266/AL266</f>
        <v>2194444.4444444445</v>
      </c>
      <c r="AL266" s="13">
        <v>20</v>
      </c>
      <c r="AM266" s="20">
        <f>158000000/3.6</f>
        <v>43888888.888888888</v>
      </c>
      <c r="AN266" s="20">
        <f t="shared" si="132"/>
        <v>43888888.888888888</v>
      </c>
      <c r="AS266" s="6">
        <f>AU266*3.6</f>
        <v>0.20952000000000001</v>
      </c>
      <c r="AU266" s="25">
        <v>5.8200000000000002E-2</v>
      </c>
      <c r="AW266" s="6"/>
      <c r="AX266" s="29"/>
      <c r="AZ266" s="6"/>
    </row>
    <row r="267" spans="1:53">
      <c r="A267" s="17" t="str">
        <f t="shared" si="133"/>
        <v>\cite{Raugei2018}</v>
      </c>
      <c r="B267" s="13" t="s">
        <v>29</v>
      </c>
      <c r="C267" s="13">
        <v>2018</v>
      </c>
      <c r="E267" s="13">
        <f t="shared" si="134"/>
        <v>2018</v>
      </c>
      <c r="F267" s="12">
        <f>LOOKUP(E267,Total_wind_installed_capacity!$A$3:$A$34,Total_wind_installed_capacity!$H$3:$H$34)</f>
        <v>580.40440000000001</v>
      </c>
      <c r="G267" s="18" t="s">
        <v>27</v>
      </c>
      <c r="H267" s="13" t="s">
        <v>33</v>
      </c>
      <c r="I267" s="18" t="s">
        <v>285</v>
      </c>
      <c r="J267" s="19">
        <f>L267/K267</f>
        <v>1000</v>
      </c>
      <c r="K267" s="19">
        <v>1</v>
      </c>
      <c r="L267" s="19">
        <v>1000</v>
      </c>
      <c r="N267" s="13" t="s">
        <v>24</v>
      </c>
      <c r="Q267" s="52" t="s">
        <v>35</v>
      </c>
      <c r="R267" s="22">
        <f>AS267*AM267</f>
        <v>9327900</v>
      </c>
      <c r="V267" s="6">
        <f t="shared" si="124"/>
        <v>9.3278999999999996</v>
      </c>
      <c r="W267" s="25"/>
      <c r="AC267" s="25">
        <f t="shared" si="131"/>
        <v>1.5810000000000001E-2</v>
      </c>
      <c r="AE267" s="32">
        <f>AX267*$AM267/1000</f>
        <v>0</v>
      </c>
      <c r="AG267" s="25">
        <f t="shared" si="126"/>
        <v>0</v>
      </c>
      <c r="AI267" s="27">
        <v>0.28100000000000003</v>
      </c>
      <c r="AJ267" s="20">
        <f>AM267/AL267</f>
        <v>2458333.333333333</v>
      </c>
      <c r="AL267" s="13">
        <v>20</v>
      </c>
      <c r="AM267" s="20">
        <f>177000000/3.6</f>
        <v>49166666.666666664</v>
      </c>
      <c r="AN267" s="20">
        <f t="shared" si="132"/>
        <v>49166666.666666664</v>
      </c>
      <c r="AS267" s="6">
        <f>AU267*3.6</f>
        <v>0.18972</v>
      </c>
      <c r="AU267" s="25">
        <v>5.2699999999999997E-2</v>
      </c>
      <c r="AW267" s="6"/>
      <c r="AX267" s="29"/>
      <c r="AZ267" s="6"/>
    </row>
    <row r="268" spans="1:53">
      <c r="A268" s="17" t="str">
        <f t="shared" si="133"/>
        <v>\cite{Tallaksen2015}</v>
      </c>
      <c r="B268" s="13" t="s">
        <v>286</v>
      </c>
      <c r="C268" s="13">
        <v>2015</v>
      </c>
      <c r="E268" s="13">
        <f t="shared" si="134"/>
        <v>2015</v>
      </c>
      <c r="F268" s="12">
        <f>LOOKUP(E268,Total_wind_installed_capacity!$A$3:$A$34,Total_wind_installed_capacity!$H$3:$H$34)</f>
        <v>427.65899999999999</v>
      </c>
      <c r="G268" s="18" t="s">
        <v>27</v>
      </c>
      <c r="H268" s="13" t="s">
        <v>33</v>
      </c>
      <c r="I268" s="18" t="s">
        <v>287</v>
      </c>
      <c r="J268" s="19">
        <v>1650</v>
      </c>
      <c r="K268" s="19">
        <v>1</v>
      </c>
      <c r="L268" s="19">
        <f t="shared" ref="L268:L273" si="136">J268*K268</f>
        <v>1650</v>
      </c>
      <c r="M268" s="21" t="s">
        <v>288</v>
      </c>
      <c r="N268" s="13" t="s">
        <v>24</v>
      </c>
      <c r="Q268" s="52" t="s">
        <v>35</v>
      </c>
      <c r="R268" s="22">
        <f t="shared" si="112"/>
        <v>0</v>
      </c>
      <c r="V268" s="6">
        <f t="shared" si="124"/>
        <v>0</v>
      </c>
      <c r="W268" s="25"/>
      <c r="AC268" s="25">
        <f t="shared" si="131"/>
        <v>0</v>
      </c>
      <c r="AE268" s="32">
        <f>AX268*$AM268/1000</f>
        <v>776061.85536000005</v>
      </c>
      <c r="AG268" s="25">
        <f t="shared" si="126"/>
        <v>0.47034051840000002</v>
      </c>
      <c r="AI268" s="27">
        <v>0.41199999999999998</v>
      </c>
      <c r="AJ268" s="20">
        <f t="shared" ref="AJ268:AJ279" si="137">AI268*8760*L268</f>
        <v>5955048</v>
      </c>
      <c r="AL268" s="13">
        <v>20</v>
      </c>
      <c r="AM268" s="20">
        <f t="shared" ref="AM268:AM279" si="138">AJ268*AL268</f>
        <v>119100960</v>
      </c>
      <c r="AN268" s="20">
        <f t="shared" si="132"/>
        <v>72182400</v>
      </c>
      <c r="AS268" s="6">
        <f t="shared" si="135"/>
        <v>0</v>
      </c>
      <c r="AU268" s="25"/>
      <c r="AW268" s="6"/>
      <c r="AX268" s="29">
        <f>1.81*3.6</f>
        <v>6.516</v>
      </c>
      <c r="AZ268" s="6"/>
    </row>
    <row r="269" spans="1:53">
      <c r="A269" s="17" t="str">
        <f t="shared" si="133"/>
        <v>\cite{Tallaksen2015}</v>
      </c>
      <c r="B269" s="13" t="s">
        <v>286</v>
      </c>
      <c r="C269" s="13">
        <v>2015</v>
      </c>
      <c r="E269" s="13">
        <f t="shared" si="134"/>
        <v>2015</v>
      </c>
      <c r="F269" s="12">
        <f>LOOKUP(E269,Total_wind_installed_capacity!$A$3:$A$34,Total_wind_installed_capacity!$H$3:$H$34)</f>
        <v>427.65899999999999</v>
      </c>
      <c r="G269" s="18" t="s">
        <v>27</v>
      </c>
      <c r="H269" s="13" t="s">
        <v>33</v>
      </c>
      <c r="I269" s="18" t="s">
        <v>289</v>
      </c>
      <c r="J269" s="19">
        <v>1650</v>
      </c>
      <c r="K269" s="19">
        <v>1</v>
      </c>
      <c r="L269" s="19">
        <f t="shared" si="136"/>
        <v>1650</v>
      </c>
      <c r="M269" s="21" t="s">
        <v>288</v>
      </c>
      <c r="N269" s="13" t="s">
        <v>24</v>
      </c>
      <c r="Q269" s="52" t="s">
        <v>35</v>
      </c>
      <c r="R269" s="22">
        <f t="shared" si="112"/>
        <v>0</v>
      </c>
      <c r="V269" s="6">
        <f t="shared" si="124"/>
        <v>0</v>
      </c>
      <c r="W269" s="25"/>
      <c r="AC269" s="25">
        <f t="shared" si="131"/>
        <v>0</v>
      </c>
      <c r="AE269" s="32">
        <f>AX269*$AM269/1000</f>
        <v>830437.80336000002</v>
      </c>
      <c r="AG269" s="25">
        <f t="shared" si="126"/>
        <v>0.50329563840000002</v>
      </c>
      <c r="AI269" s="27">
        <v>0.39700000000000002</v>
      </c>
      <c r="AJ269" s="20">
        <f t="shared" si="137"/>
        <v>5738238</v>
      </c>
      <c r="AL269" s="13">
        <v>20</v>
      </c>
      <c r="AM269" s="20">
        <f t="shared" si="138"/>
        <v>114764760</v>
      </c>
      <c r="AN269" s="20">
        <f t="shared" si="132"/>
        <v>69554400</v>
      </c>
      <c r="AS269" s="6">
        <f t="shared" si="135"/>
        <v>0</v>
      </c>
      <c r="AU269" s="25"/>
      <c r="AW269" s="6"/>
      <c r="AX269" s="29">
        <f>2.01*3.6</f>
        <v>7.2359999999999998</v>
      </c>
      <c r="AZ269" s="6"/>
    </row>
    <row r="270" spans="1:53">
      <c r="A270" s="17" t="str">
        <f t="shared" si="133"/>
        <v>\cite{Besseau2019}</v>
      </c>
      <c r="B270" s="13" t="s">
        <v>290</v>
      </c>
      <c r="C270" s="13">
        <v>2019</v>
      </c>
      <c r="E270" s="13">
        <f t="shared" si="134"/>
        <v>2019</v>
      </c>
      <c r="F270" s="12">
        <f>LOOKUP(E270,Total_wind_installed_capacity!$A$3:$A$34,Total_wind_installed_capacity!$H$3:$H$34)</f>
        <v>643.43574999999998</v>
      </c>
      <c r="G270" s="18" t="s">
        <v>27</v>
      </c>
      <c r="H270" s="13" t="s">
        <v>33</v>
      </c>
      <c r="I270" s="18" t="s">
        <v>205</v>
      </c>
      <c r="J270" s="19">
        <v>1000</v>
      </c>
      <c r="K270" s="19">
        <v>1</v>
      </c>
      <c r="L270" s="19">
        <f t="shared" si="136"/>
        <v>1000</v>
      </c>
      <c r="M270" s="21" t="s">
        <v>291</v>
      </c>
      <c r="N270" s="13" t="s">
        <v>24</v>
      </c>
      <c r="Q270" s="52" t="s">
        <v>20</v>
      </c>
      <c r="R270" s="22">
        <f t="shared" si="112"/>
        <v>0</v>
      </c>
      <c r="V270" s="6"/>
      <c r="W270" s="25"/>
      <c r="AC270" s="25">
        <f t="shared" si="131"/>
        <v>0</v>
      </c>
      <c r="AE270" s="32"/>
      <c r="AG270" s="25">
        <f>742/1000</f>
        <v>0.74199999999999999</v>
      </c>
      <c r="AI270" s="27">
        <v>0.191</v>
      </c>
      <c r="AJ270" s="20">
        <f t="shared" si="137"/>
        <v>1673160</v>
      </c>
      <c r="AM270" s="20">
        <f t="shared" si="138"/>
        <v>0</v>
      </c>
      <c r="AS270" s="6" t="e">
        <f t="shared" si="135"/>
        <v>#DIV/0!</v>
      </c>
      <c r="AU270" s="25"/>
      <c r="AW270" s="6"/>
      <c r="AX270" s="29">
        <v>17.600000000000001</v>
      </c>
      <c r="AZ270" s="6"/>
    </row>
    <row r="271" spans="1:53">
      <c r="A271" s="17" t="str">
        <f t="shared" si="133"/>
        <v>\cite{Besseau2019}</v>
      </c>
      <c r="B271" s="13" t="s">
        <v>290</v>
      </c>
      <c r="C271" s="13">
        <v>2019</v>
      </c>
      <c r="E271" s="13">
        <f t="shared" si="134"/>
        <v>2019</v>
      </c>
      <c r="F271" s="12">
        <f>LOOKUP(E271,Total_wind_installed_capacity!$A$3:$A$34,Total_wind_installed_capacity!$H$3:$H$34)</f>
        <v>643.43574999999998</v>
      </c>
      <c r="G271" s="18" t="s">
        <v>27</v>
      </c>
      <c r="H271" s="13" t="s">
        <v>33</v>
      </c>
      <c r="I271" s="18" t="s">
        <v>205</v>
      </c>
      <c r="J271" s="19">
        <v>2000</v>
      </c>
      <c r="K271" s="19">
        <v>1</v>
      </c>
      <c r="L271" s="19">
        <f t="shared" si="136"/>
        <v>2000</v>
      </c>
      <c r="M271" s="21" t="s">
        <v>291</v>
      </c>
      <c r="N271" s="13" t="s">
        <v>24</v>
      </c>
      <c r="Q271" s="52" t="s">
        <v>20</v>
      </c>
      <c r="V271" s="6"/>
      <c r="W271" s="25"/>
      <c r="AC271" s="25"/>
      <c r="AE271" s="32"/>
      <c r="AG271" s="25">
        <f>730/1000</f>
        <v>0.73</v>
      </c>
      <c r="AI271" s="27">
        <v>0.25</v>
      </c>
      <c r="AJ271" s="20">
        <f t="shared" si="137"/>
        <v>4380000</v>
      </c>
      <c r="AM271" s="20">
        <f t="shared" si="138"/>
        <v>0</v>
      </c>
      <c r="AS271" s="6"/>
      <c r="AU271" s="25"/>
      <c r="AW271" s="6"/>
      <c r="AX271" s="29">
        <v>15.5</v>
      </c>
      <c r="AZ271" s="6"/>
    </row>
    <row r="272" spans="1:53">
      <c r="A272" s="17" t="str">
        <f t="shared" si="133"/>
        <v>\cite{Besseau2019}</v>
      </c>
      <c r="B272" s="13" t="s">
        <v>290</v>
      </c>
      <c r="C272" s="13">
        <v>2019</v>
      </c>
      <c r="E272" s="13">
        <f t="shared" si="134"/>
        <v>2019</v>
      </c>
      <c r="F272" s="12">
        <f>LOOKUP(E272,Total_wind_installed_capacity!$A$3:$A$34,Total_wind_installed_capacity!$H$3:$H$34)</f>
        <v>643.43574999999998</v>
      </c>
      <c r="G272" s="18" t="s">
        <v>27</v>
      </c>
      <c r="H272" s="13" t="s">
        <v>33</v>
      </c>
      <c r="I272" s="18" t="s">
        <v>205</v>
      </c>
      <c r="J272" s="19">
        <v>3500</v>
      </c>
      <c r="K272" s="19">
        <v>1</v>
      </c>
      <c r="L272" s="19">
        <f t="shared" si="136"/>
        <v>3500</v>
      </c>
      <c r="M272" s="21" t="s">
        <v>291</v>
      </c>
      <c r="N272" s="13" t="s">
        <v>24</v>
      </c>
      <c r="Q272" s="52" t="s">
        <v>20</v>
      </c>
      <c r="V272" s="6"/>
      <c r="W272" s="25"/>
      <c r="AC272" s="25"/>
      <c r="AE272" s="32"/>
      <c r="AG272" s="25">
        <f>833/1000</f>
        <v>0.83299999999999996</v>
      </c>
      <c r="AI272" s="27">
        <v>0.30299999999999999</v>
      </c>
      <c r="AJ272" s="20">
        <f t="shared" si="137"/>
        <v>9289980</v>
      </c>
      <c r="AM272" s="20">
        <f t="shared" si="138"/>
        <v>0</v>
      </c>
      <c r="AS272" s="6"/>
      <c r="AU272" s="25"/>
      <c r="AW272" s="6"/>
      <c r="AX272" s="29">
        <v>14.1</v>
      </c>
      <c r="AZ272" s="6"/>
    </row>
    <row r="273" spans="1:53">
      <c r="A273" s="17" t="str">
        <f t="shared" si="133"/>
        <v>\cite{Besseau2019}</v>
      </c>
      <c r="B273" s="13" t="s">
        <v>290</v>
      </c>
      <c r="C273" s="13">
        <v>2019</v>
      </c>
      <c r="E273" s="13">
        <f t="shared" si="134"/>
        <v>2019</v>
      </c>
      <c r="F273" s="12">
        <f>LOOKUP(E273,Total_wind_installed_capacity!$A$3:$A$34,Total_wind_installed_capacity!$H$3:$H$34)</f>
        <v>643.43574999999998</v>
      </c>
      <c r="G273" s="18" t="s">
        <v>27</v>
      </c>
      <c r="H273" s="13" t="s">
        <v>33</v>
      </c>
      <c r="I273" s="18" t="s">
        <v>205</v>
      </c>
      <c r="J273" s="19">
        <v>2000</v>
      </c>
      <c r="K273" s="19">
        <v>1</v>
      </c>
      <c r="L273" s="19">
        <f t="shared" si="136"/>
        <v>2000</v>
      </c>
      <c r="M273" s="21" t="s">
        <v>291</v>
      </c>
      <c r="N273" s="13" t="s">
        <v>31</v>
      </c>
      <c r="Q273" s="52" t="s">
        <v>20</v>
      </c>
      <c r="V273" s="6"/>
      <c r="W273" s="25"/>
      <c r="AC273" s="25"/>
      <c r="AE273" s="32"/>
      <c r="AG273" s="25">
        <f>984/1000</f>
        <v>0.98399999999999999</v>
      </c>
      <c r="AI273" s="27">
        <v>0.39500000000000002</v>
      </c>
      <c r="AJ273" s="20">
        <f t="shared" si="137"/>
        <v>6920400.0000000009</v>
      </c>
      <c r="AM273" s="20">
        <f t="shared" si="138"/>
        <v>0</v>
      </c>
      <c r="AS273" s="6"/>
      <c r="AU273" s="25"/>
      <c r="AW273" s="6"/>
      <c r="AX273" s="29">
        <v>13.6</v>
      </c>
      <c r="AZ273" s="6"/>
    </row>
    <row r="274" spans="1:53">
      <c r="A274" s="17" t="str">
        <f t="shared" si="133"/>
        <v>\cite{Kouloumpis2020}</v>
      </c>
      <c r="B274" s="13" t="s">
        <v>44</v>
      </c>
      <c r="C274" s="13">
        <v>2020</v>
      </c>
      <c r="E274" s="13">
        <f t="shared" si="134"/>
        <v>2020</v>
      </c>
      <c r="F274" s="12">
        <f>LOOKUP(E274,Total_wind_installed_capacity!$A$3:$A$34,Total_wind_installed_capacity!$H$3:$H$34)</f>
        <v>741.39724999999999</v>
      </c>
      <c r="G274" s="18" t="s">
        <v>27</v>
      </c>
      <c r="H274" s="13" t="s">
        <v>33</v>
      </c>
      <c r="I274" s="18" t="s">
        <v>163</v>
      </c>
      <c r="J274" s="19">
        <v>5</v>
      </c>
      <c r="K274" s="19">
        <v>1</v>
      </c>
      <c r="L274" s="19">
        <f t="shared" ref="L274:L280" si="139">J274*K274</f>
        <v>5</v>
      </c>
      <c r="M274" s="21" t="s">
        <v>292</v>
      </c>
      <c r="N274" s="13" t="s">
        <v>24</v>
      </c>
      <c r="Q274" s="52" t="s">
        <v>20</v>
      </c>
      <c r="V274" s="6"/>
      <c r="W274" s="25"/>
      <c r="AC274" s="25"/>
      <c r="AE274" s="32"/>
      <c r="AG274" s="25"/>
      <c r="AI274" s="27">
        <v>5.0000000000000001E-3</v>
      </c>
      <c r="AJ274" s="20">
        <f t="shared" si="137"/>
        <v>219.00000000000003</v>
      </c>
      <c r="AL274" s="13">
        <v>20</v>
      </c>
      <c r="AM274" s="20">
        <f t="shared" si="138"/>
        <v>4380.0000000000009</v>
      </c>
      <c r="AN274" s="20">
        <f t="shared" ref="AN274:AN282" si="140">AM274/L274*1000</f>
        <v>876000.00000000023</v>
      </c>
      <c r="AS274" s="6"/>
      <c r="AU274" s="25"/>
      <c r="AW274" s="6"/>
      <c r="AX274" s="46">
        <f>2920</f>
        <v>2920</v>
      </c>
      <c r="AZ274" s="6"/>
      <c r="BA274" s="18" t="s">
        <v>293</v>
      </c>
    </row>
    <row r="275" spans="1:53">
      <c r="A275" s="17" t="str">
        <f t="shared" si="133"/>
        <v>\cite{Kouloumpis2020}</v>
      </c>
      <c r="B275" s="13" t="s">
        <v>44</v>
      </c>
      <c r="C275" s="13">
        <v>2020</v>
      </c>
      <c r="E275" s="13">
        <f t="shared" si="134"/>
        <v>2020</v>
      </c>
      <c r="F275" s="12">
        <f>LOOKUP(E275,Total_wind_installed_capacity!$A$3:$A$34,Total_wind_installed_capacity!$H$3:$H$34)</f>
        <v>741.39724999999999</v>
      </c>
      <c r="G275" s="18" t="s">
        <v>27</v>
      </c>
      <c r="H275" s="13" t="s">
        <v>33</v>
      </c>
      <c r="I275" s="18" t="s">
        <v>163</v>
      </c>
      <c r="J275" s="19">
        <v>5</v>
      </c>
      <c r="K275" s="19">
        <v>1</v>
      </c>
      <c r="L275" s="19">
        <f t="shared" si="139"/>
        <v>5</v>
      </c>
      <c r="M275" s="21" t="s">
        <v>292</v>
      </c>
      <c r="N275" s="13" t="s">
        <v>24</v>
      </c>
      <c r="Q275" s="52" t="s">
        <v>20</v>
      </c>
      <c r="V275" s="6"/>
      <c r="W275" s="25"/>
      <c r="AC275" s="25"/>
      <c r="AE275" s="32"/>
      <c r="AG275" s="25"/>
      <c r="AI275" s="27">
        <v>0.09</v>
      </c>
      <c r="AJ275" s="20">
        <f t="shared" si="137"/>
        <v>3942</v>
      </c>
      <c r="AL275" s="13">
        <v>20</v>
      </c>
      <c r="AM275" s="20">
        <f t="shared" si="138"/>
        <v>78840</v>
      </c>
      <c r="AN275" s="20">
        <f t="shared" si="140"/>
        <v>15768000</v>
      </c>
      <c r="AS275" s="6"/>
      <c r="AU275" s="25"/>
      <c r="AW275" s="6"/>
      <c r="AX275" s="29">
        <f>0.162*1000</f>
        <v>162</v>
      </c>
      <c r="AZ275" s="6"/>
      <c r="BA275" s="18" t="s">
        <v>294</v>
      </c>
    </row>
    <row r="276" spans="1:53">
      <c r="A276" s="17" t="str">
        <f t="shared" si="133"/>
        <v>\cite{Kouloumpis2020}</v>
      </c>
      <c r="B276" s="13" t="s">
        <v>44</v>
      </c>
      <c r="C276" s="13">
        <v>2020</v>
      </c>
      <c r="E276" s="13">
        <f t="shared" si="134"/>
        <v>2020</v>
      </c>
      <c r="F276" s="12">
        <f>LOOKUP(E276,Total_wind_installed_capacity!$A$3:$A$34,Total_wind_installed_capacity!$H$3:$H$34)</f>
        <v>741.39724999999999</v>
      </c>
      <c r="G276" s="18" t="s">
        <v>27</v>
      </c>
      <c r="H276" s="13" t="s">
        <v>33</v>
      </c>
      <c r="I276" s="18" t="s">
        <v>163</v>
      </c>
      <c r="J276" s="19">
        <v>5</v>
      </c>
      <c r="K276" s="19">
        <v>1</v>
      </c>
      <c r="L276" s="19">
        <f t="shared" si="139"/>
        <v>5</v>
      </c>
      <c r="M276" s="21" t="s">
        <v>292</v>
      </c>
      <c r="N276" s="13" t="s">
        <v>24</v>
      </c>
      <c r="Q276" s="52" t="s">
        <v>20</v>
      </c>
      <c r="V276" s="6"/>
      <c r="W276" s="25"/>
      <c r="AC276" s="25"/>
      <c r="AE276" s="32"/>
      <c r="AG276" s="25"/>
      <c r="AI276" s="27">
        <v>0.20499999999999999</v>
      </c>
      <c r="AJ276" s="20">
        <f t="shared" si="137"/>
        <v>8979</v>
      </c>
      <c r="AL276" s="13">
        <v>20</v>
      </c>
      <c r="AM276" s="20">
        <f t="shared" si="138"/>
        <v>179580</v>
      </c>
      <c r="AN276" s="20">
        <f t="shared" si="140"/>
        <v>35916000</v>
      </c>
      <c r="AS276" s="6"/>
      <c r="AU276" s="25"/>
      <c r="AW276" s="6"/>
      <c r="AX276" s="29">
        <f>0.0713*1000</f>
        <v>71.3</v>
      </c>
      <c r="AZ276" s="6"/>
      <c r="BA276" s="18" t="s">
        <v>295</v>
      </c>
    </row>
    <row r="277" spans="1:53">
      <c r="A277" s="17" t="str">
        <f t="shared" si="133"/>
        <v>\cite{Kouloumpis2020}</v>
      </c>
      <c r="B277" s="13" t="s">
        <v>44</v>
      </c>
      <c r="C277" s="13">
        <v>2020</v>
      </c>
      <c r="E277" s="13">
        <f t="shared" si="134"/>
        <v>2020</v>
      </c>
      <c r="F277" s="12">
        <f>LOOKUP(E277,Total_wind_installed_capacity!$A$3:$A$34,Total_wind_installed_capacity!$H$3:$H$34)</f>
        <v>741.39724999999999</v>
      </c>
      <c r="G277" s="18" t="s">
        <v>27</v>
      </c>
      <c r="H277" s="13" t="s">
        <v>33</v>
      </c>
      <c r="I277" s="18" t="s">
        <v>163</v>
      </c>
      <c r="J277" s="19">
        <v>5</v>
      </c>
      <c r="K277" s="19">
        <v>1</v>
      </c>
      <c r="L277" s="19">
        <f t="shared" si="139"/>
        <v>5</v>
      </c>
      <c r="M277" s="21" t="s">
        <v>292</v>
      </c>
      <c r="N277" s="13" t="s">
        <v>24</v>
      </c>
      <c r="Q277" s="52" t="s">
        <v>20</v>
      </c>
      <c r="V277" s="6"/>
      <c r="W277" s="25"/>
      <c r="AC277" s="25"/>
      <c r="AE277" s="32"/>
      <c r="AG277" s="25"/>
      <c r="AI277" s="27">
        <v>5.0000000000000001E-3</v>
      </c>
      <c r="AJ277" s="20">
        <f t="shared" si="137"/>
        <v>219.00000000000003</v>
      </c>
      <c r="AL277" s="13">
        <v>20</v>
      </c>
      <c r="AM277" s="20">
        <f t="shared" si="138"/>
        <v>4380.0000000000009</v>
      </c>
      <c r="AN277" s="20">
        <f t="shared" si="140"/>
        <v>876000.00000000023</v>
      </c>
      <c r="AS277" s="6"/>
      <c r="AU277" s="25"/>
      <c r="AW277" s="6"/>
      <c r="AX277" s="46">
        <f>2.27*1000</f>
        <v>2270</v>
      </c>
      <c r="AZ277" s="6"/>
      <c r="BA277" s="18" t="s">
        <v>296</v>
      </c>
    </row>
    <row r="278" spans="1:53">
      <c r="A278" s="17" t="str">
        <f t="shared" si="133"/>
        <v>\cite{Kouloumpis2020}</v>
      </c>
      <c r="B278" s="13" t="s">
        <v>44</v>
      </c>
      <c r="C278" s="13">
        <v>2020</v>
      </c>
      <c r="E278" s="13">
        <f t="shared" si="134"/>
        <v>2020</v>
      </c>
      <c r="F278" s="12">
        <f>LOOKUP(E278,Total_wind_installed_capacity!$A$3:$A$34,Total_wind_installed_capacity!$H$3:$H$34)</f>
        <v>741.39724999999999</v>
      </c>
      <c r="G278" s="18" t="s">
        <v>27</v>
      </c>
      <c r="H278" s="13" t="s">
        <v>33</v>
      </c>
      <c r="I278" s="18" t="s">
        <v>163</v>
      </c>
      <c r="J278" s="19">
        <v>5</v>
      </c>
      <c r="K278" s="19">
        <v>1</v>
      </c>
      <c r="L278" s="19">
        <f t="shared" si="139"/>
        <v>5</v>
      </c>
      <c r="M278" s="21" t="s">
        <v>292</v>
      </c>
      <c r="N278" s="13" t="s">
        <v>24</v>
      </c>
      <c r="Q278" s="52" t="s">
        <v>20</v>
      </c>
      <c r="V278" s="6"/>
      <c r="W278" s="25"/>
      <c r="AC278" s="25"/>
      <c r="AE278" s="32"/>
      <c r="AG278" s="25"/>
      <c r="AI278" s="27">
        <v>0.09</v>
      </c>
      <c r="AJ278" s="20">
        <f t="shared" si="137"/>
        <v>3942</v>
      </c>
      <c r="AL278" s="13">
        <v>20</v>
      </c>
      <c r="AM278" s="20">
        <f t="shared" si="138"/>
        <v>78840</v>
      </c>
      <c r="AN278" s="20">
        <f t="shared" si="140"/>
        <v>15768000</v>
      </c>
      <c r="AS278" s="6"/>
      <c r="AU278" s="25"/>
      <c r="AW278" s="6"/>
      <c r="AX278" s="29">
        <f>0.126*1000</f>
        <v>126</v>
      </c>
      <c r="AZ278" s="6"/>
      <c r="BA278" s="18" t="s">
        <v>297</v>
      </c>
    </row>
    <row r="279" spans="1:53">
      <c r="A279" s="17" t="str">
        <f t="shared" si="133"/>
        <v>\cite{Kouloumpis2020}</v>
      </c>
      <c r="B279" s="13" t="s">
        <v>44</v>
      </c>
      <c r="C279" s="13">
        <v>2020</v>
      </c>
      <c r="E279" s="13">
        <f t="shared" si="134"/>
        <v>2020</v>
      </c>
      <c r="F279" s="12">
        <f>LOOKUP(E279,Total_wind_installed_capacity!$A$3:$A$34,Total_wind_installed_capacity!$H$3:$H$34)</f>
        <v>741.39724999999999</v>
      </c>
      <c r="G279" s="18" t="s">
        <v>27</v>
      </c>
      <c r="H279" s="13" t="s">
        <v>33</v>
      </c>
      <c r="I279" s="18" t="s">
        <v>163</v>
      </c>
      <c r="J279" s="19">
        <v>5</v>
      </c>
      <c r="K279" s="19">
        <v>1</v>
      </c>
      <c r="L279" s="19">
        <f t="shared" si="139"/>
        <v>5</v>
      </c>
      <c r="M279" s="21" t="s">
        <v>292</v>
      </c>
      <c r="N279" s="13" t="s">
        <v>24</v>
      </c>
      <c r="Q279" s="52" t="s">
        <v>20</v>
      </c>
      <c r="V279" s="6"/>
      <c r="W279" s="25"/>
      <c r="AC279" s="25"/>
      <c r="AE279" s="32"/>
      <c r="AG279" s="25"/>
      <c r="AI279" s="27">
        <v>0.20499999999999999</v>
      </c>
      <c r="AJ279" s="20">
        <f t="shared" si="137"/>
        <v>8979</v>
      </c>
      <c r="AL279" s="13">
        <v>20</v>
      </c>
      <c r="AM279" s="20">
        <f t="shared" si="138"/>
        <v>179580</v>
      </c>
      <c r="AN279" s="20">
        <f t="shared" si="140"/>
        <v>35916000</v>
      </c>
      <c r="AS279" s="6"/>
      <c r="AU279" s="25"/>
      <c r="AW279" s="6"/>
      <c r="AX279" s="29">
        <f>0.0555*1000</f>
        <v>55.5</v>
      </c>
      <c r="AZ279" s="6"/>
      <c r="BA279" s="18" t="s">
        <v>298</v>
      </c>
    </row>
    <row r="280" spans="1:53">
      <c r="A280" s="17" t="str">
        <f t="shared" si="133"/>
        <v>\cite{Ortegon2013}</v>
      </c>
      <c r="B280" s="13" t="s">
        <v>299</v>
      </c>
      <c r="C280" s="13">
        <v>2013</v>
      </c>
      <c r="E280" s="13">
        <f t="shared" si="134"/>
        <v>2013</v>
      </c>
      <c r="F280" s="12">
        <f>LOOKUP(E280,Total_wind_installed_capacity!$A$3:$A$34,Total_wind_installed_capacity!$H$3:$H$34)</f>
        <v>310.36672750000002</v>
      </c>
      <c r="G280" s="18" t="s">
        <v>27</v>
      </c>
      <c r="H280" s="13" t="s">
        <v>33</v>
      </c>
      <c r="J280" s="19">
        <v>2000</v>
      </c>
      <c r="K280" s="19">
        <v>1</v>
      </c>
      <c r="L280" s="19">
        <f t="shared" si="139"/>
        <v>2000</v>
      </c>
      <c r="N280" s="13" t="s">
        <v>24</v>
      </c>
      <c r="Q280" s="52" t="s">
        <v>35</v>
      </c>
      <c r="R280" s="22">
        <v>9529202</v>
      </c>
      <c r="V280" s="6">
        <f t="shared" si="124"/>
        <v>4.7646009999999999</v>
      </c>
      <c r="W280" s="25"/>
      <c r="AC280" s="25"/>
      <c r="AE280" s="32">
        <v>712927.36</v>
      </c>
      <c r="AG280" s="25">
        <f>984/1000</f>
        <v>0.98399999999999999</v>
      </c>
      <c r="AI280" s="27">
        <f>AJ280/L280/8760</f>
        <v>0.35</v>
      </c>
      <c r="AJ280" s="20">
        <v>6132000</v>
      </c>
      <c r="AL280" s="13">
        <v>20</v>
      </c>
      <c r="AM280" s="20">
        <f>AJ280*AL280</f>
        <v>122640000</v>
      </c>
      <c r="AN280" s="20">
        <f t="shared" si="140"/>
        <v>61320000</v>
      </c>
      <c r="AS280" s="6">
        <f>R280/AM280</f>
        <v>7.7700603392041753E-2</v>
      </c>
      <c r="AU280" s="25"/>
      <c r="AW280" s="6"/>
      <c r="AX280" s="29">
        <f>AE280*1000/AM280</f>
        <v>5.8131715590345729</v>
      </c>
      <c r="AZ280" s="6"/>
    </row>
    <row r="281" spans="1:53">
      <c r="A281" s="17" t="str">
        <f t="shared" si="133"/>
        <v>\cite{Alvarez2015}</v>
      </c>
      <c r="B281" s="13" t="s">
        <v>300</v>
      </c>
      <c r="C281" s="13">
        <v>2015</v>
      </c>
      <c r="E281" s="13">
        <f t="shared" si="134"/>
        <v>2015</v>
      </c>
      <c r="F281" s="12">
        <f>LOOKUP(E281,Total_wind_installed_capacity!$A$3:$A$34,Total_wind_installed_capacity!$H$3:$H$34)</f>
        <v>427.65899999999999</v>
      </c>
      <c r="G281" s="18" t="s">
        <v>74</v>
      </c>
      <c r="H281" s="13" t="s">
        <v>22</v>
      </c>
      <c r="I281" s="18" t="s">
        <v>266</v>
      </c>
      <c r="J281" s="19">
        <f>L281/K281</f>
        <v>2147.9729729729729</v>
      </c>
      <c r="K281" s="19">
        <v>148</v>
      </c>
      <c r="L281" s="19">
        <f>317.9*1000</f>
        <v>317900</v>
      </c>
      <c r="M281" s="21" t="s">
        <v>301</v>
      </c>
      <c r="N281" s="13" t="s">
        <v>24</v>
      </c>
      <c r="Q281" s="52" t="s">
        <v>20</v>
      </c>
      <c r="V281" s="6">
        <f t="shared" si="124"/>
        <v>0</v>
      </c>
      <c r="W281" s="25"/>
      <c r="AC281" s="25"/>
      <c r="AE281" s="32">
        <v>362455000</v>
      </c>
      <c r="AG281" s="25">
        <f>AE281/L281/1000</f>
        <v>1.1401541365209185</v>
      </c>
      <c r="AI281" s="27">
        <v>0.35499999999999998</v>
      </c>
      <c r="AJ281" s="20">
        <f>AI281*8760*L281</f>
        <v>988605419.99999988</v>
      </c>
      <c r="AL281" s="13">
        <v>20</v>
      </c>
      <c r="AM281" s="20">
        <f>AJ281*AL281</f>
        <v>19772108399.999996</v>
      </c>
      <c r="AN281" s="20">
        <f t="shared" si="140"/>
        <v>62195999.999999985</v>
      </c>
      <c r="AS281" s="6"/>
      <c r="AU281" s="25"/>
      <c r="AW281" s="6"/>
      <c r="AX281" s="29">
        <f>AE281*1000/AM281</f>
        <v>18.331631238679638</v>
      </c>
      <c r="AZ281" s="6"/>
    </row>
    <row r="282" spans="1:53">
      <c r="A282" s="17" t="str">
        <f t="shared" si="133"/>
        <v>\cite{Atilgan2016}</v>
      </c>
      <c r="B282" s="13" t="s">
        <v>80</v>
      </c>
      <c r="C282" s="13">
        <v>2016</v>
      </c>
      <c r="E282" s="13">
        <f t="shared" si="134"/>
        <v>2016</v>
      </c>
      <c r="F282" s="12">
        <f>LOOKUP(E282,Total_wind_installed_capacity!$A$3:$A$34,Total_wind_installed_capacity!$H$3:$H$34)</f>
        <v>480.73440000000005</v>
      </c>
      <c r="G282" s="18" t="s">
        <v>27</v>
      </c>
      <c r="H282" s="13" t="s">
        <v>86</v>
      </c>
      <c r="I282" s="18" t="s">
        <v>81</v>
      </c>
      <c r="J282" s="19">
        <f>L282/K282</f>
        <v>1935.483870967742</v>
      </c>
      <c r="K282" s="19">
        <v>682</v>
      </c>
      <c r="L282" s="19">
        <v>1320000</v>
      </c>
      <c r="M282" s="21" t="s">
        <v>302</v>
      </c>
      <c r="N282" s="13" t="s">
        <v>24</v>
      </c>
      <c r="Q282" s="52" t="s">
        <v>20</v>
      </c>
      <c r="V282" s="6">
        <f t="shared" si="124"/>
        <v>0</v>
      </c>
      <c r="W282" s="25"/>
      <c r="AC282" s="25"/>
      <c r="AE282" s="32">
        <f>AM282*AX282/1000</f>
        <v>425736000</v>
      </c>
      <c r="AG282" s="25">
        <f>AE282/L282/1000</f>
        <v>0.32252727272727272</v>
      </c>
      <c r="AI282" s="27">
        <f>AJ282/L282/8760</f>
        <v>0.25217932752179328</v>
      </c>
      <c r="AJ282" s="20">
        <f>2916*1000000</f>
        <v>2916000000</v>
      </c>
      <c r="AL282" s="13">
        <v>20</v>
      </c>
      <c r="AM282" s="20">
        <f>AJ282*AL282</f>
        <v>58320000000</v>
      </c>
      <c r="AN282" s="20">
        <f t="shared" si="140"/>
        <v>44181818.181818187</v>
      </c>
      <c r="AS282" s="6"/>
      <c r="AU282" s="25"/>
      <c r="AW282" s="6"/>
      <c r="AX282" s="29">
        <f>0.73*0.01*1000</f>
        <v>7.3</v>
      </c>
      <c r="AZ282" s="6"/>
    </row>
    <row r="283" spans="1:53" s="35" customFormat="1">
      <c r="A283" s="17" t="str">
        <f t="shared" si="133"/>
        <v>\cite{Stenzel2017}</v>
      </c>
      <c r="B283" s="35" t="s">
        <v>303</v>
      </c>
      <c r="C283" s="35">
        <v>2017</v>
      </c>
      <c r="E283" s="13">
        <f t="shared" si="134"/>
        <v>2017</v>
      </c>
      <c r="F283" s="12">
        <f>LOOKUP(E283,Total_wind_installed_capacity!$A$3:$A$34,Total_wind_installed_capacity!$H$3:$H$34)</f>
        <v>530.78719999999998</v>
      </c>
      <c r="G283" s="36" t="s">
        <v>27</v>
      </c>
      <c r="H283" s="35" t="s">
        <v>304</v>
      </c>
      <c r="I283" s="36" t="s">
        <v>281</v>
      </c>
      <c r="J283" s="37">
        <f>L283/K283</f>
        <v>900</v>
      </c>
      <c r="K283" s="37">
        <v>5</v>
      </c>
      <c r="L283" s="37">
        <v>4500</v>
      </c>
      <c r="M283" s="38" t="s">
        <v>305</v>
      </c>
      <c r="N283" s="35" t="s">
        <v>24</v>
      </c>
      <c r="Q283" s="55" t="s">
        <v>35</v>
      </c>
      <c r="R283" s="39"/>
      <c r="V283" s="45"/>
      <c r="W283" s="41"/>
      <c r="AC283" s="41"/>
      <c r="AE283" s="42">
        <f>90.75*1000</f>
        <v>90750</v>
      </c>
      <c r="AG283" s="41">
        <f>AE283/L283/1000</f>
        <v>2.016666666666667E-2</v>
      </c>
      <c r="AI283" s="43"/>
      <c r="AJ283" s="37"/>
      <c r="AK283" s="44"/>
      <c r="AM283" s="37"/>
      <c r="AN283" s="37"/>
      <c r="AO283" s="36"/>
      <c r="AS283" s="45"/>
      <c r="AU283" s="41"/>
      <c r="AW283" s="45"/>
      <c r="AX283" s="46"/>
      <c r="AZ283" s="45"/>
      <c r="BA283" s="36"/>
    </row>
    <row r="284" spans="1:53">
      <c r="A284" s="17" t="str">
        <f t="shared" si="133"/>
        <v>\cite{Li2020}</v>
      </c>
      <c r="B284" s="13" t="s">
        <v>18</v>
      </c>
      <c r="C284" s="13">
        <v>2020</v>
      </c>
      <c r="E284" s="13">
        <f t="shared" si="134"/>
        <v>2020</v>
      </c>
      <c r="F284" s="12">
        <f>LOOKUP(E284,Total_wind_installed_capacity!$A$3:$A$34,Total_wind_installed_capacity!$H$3:$H$34)</f>
        <v>741.39724999999999</v>
      </c>
      <c r="G284" s="18" t="s">
        <v>27</v>
      </c>
      <c r="H284" s="13" t="s">
        <v>22</v>
      </c>
      <c r="I284" s="18" t="s">
        <v>19</v>
      </c>
      <c r="J284" s="19">
        <v>1500</v>
      </c>
      <c r="K284" s="19">
        <v>33</v>
      </c>
      <c r="L284" s="19">
        <f>J284*K284</f>
        <v>49500</v>
      </c>
      <c r="N284" s="13" t="s">
        <v>24</v>
      </c>
      <c r="Q284" s="52" t="s">
        <v>20</v>
      </c>
      <c r="V284" s="6"/>
      <c r="W284" s="25"/>
      <c r="AC284" s="25"/>
      <c r="AE284" s="32">
        <f>10490.83*1000</f>
        <v>10490830</v>
      </c>
      <c r="AG284" s="25">
        <f>AE284/L284/1000</f>
        <v>0.21193595959595959</v>
      </c>
      <c r="AI284" s="43">
        <f>AJ284/L284/8760</f>
        <v>2.7311932106452656E-2</v>
      </c>
      <c r="AJ284" s="37">
        <f>11.843*1000000</f>
        <v>11843000</v>
      </c>
      <c r="AK284" s="44"/>
      <c r="AL284" s="35">
        <v>20</v>
      </c>
      <c r="AM284" s="37">
        <f>AJ284*AL284</f>
        <v>236860000</v>
      </c>
      <c r="AN284" s="37">
        <f>AM284/L284*1000</f>
        <v>4785050.5050505055</v>
      </c>
      <c r="AS284" s="6"/>
      <c r="AU284" s="25"/>
      <c r="AW284" s="6"/>
      <c r="AX284" s="29">
        <v>5.0330000000000004</v>
      </c>
      <c r="AZ284" s="6"/>
      <c r="BA284" s="18" t="s">
        <v>306</v>
      </c>
    </row>
    <row r="285" spans="1:53">
      <c r="A285" s="17" t="str">
        <f t="shared" si="133"/>
        <v>\cite{Li2020}</v>
      </c>
      <c r="B285" s="13" t="s">
        <v>18</v>
      </c>
      <c r="C285" s="13">
        <v>2020</v>
      </c>
      <c r="E285" s="13">
        <f t="shared" si="134"/>
        <v>2020</v>
      </c>
      <c r="F285" s="12">
        <f>LOOKUP(E285,Total_wind_installed_capacity!$A$3:$A$34,Total_wind_installed_capacity!$H$3:$H$34)</f>
        <v>741.39724999999999</v>
      </c>
      <c r="G285" s="18" t="s">
        <v>27</v>
      </c>
      <c r="H285" s="13" t="s">
        <v>22</v>
      </c>
      <c r="I285" s="18" t="s">
        <v>19</v>
      </c>
      <c r="J285" s="19">
        <v>1500</v>
      </c>
      <c r="K285" s="19">
        <v>33</v>
      </c>
      <c r="L285" s="19">
        <f t="shared" ref="L285:L295" si="141">J285*K285</f>
        <v>49500</v>
      </c>
      <c r="N285" s="13" t="s">
        <v>24</v>
      </c>
      <c r="Q285" s="52" t="s">
        <v>20</v>
      </c>
      <c r="V285" s="6"/>
      <c r="W285" s="25"/>
      <c r="AC285" s="25"/>
      <c r="AE285" s="32"/>
      <c r="AG285" s="25"/>
      <c r="AI285" s="27"/>
      <c r="AJ285" s="20"/>
      <c r="AS285" s="6"/>
      <c r="AU285" s="25"/>
      <c r="AW285" s="6"/>
      <c r="AX285" s="29">
        <v>5.58</v>
      </c>
      <c r="AZ285" s="6"/>
      <c r="BA285" s="18" t="s">
        <v>307</v>
      </c>
    </row>
    <row r="286" spans="1:53">
      <c r="A286" s="17" t="str">
        <f t="shared" si="133"/>
        <v>\cite{Li2020}</v>
      </c>
      <c r="B286" s="13" t="s">
        <v>18</v>
      </c>
      <c r="C286" s="13">
        <v>2020</v>
      </c>
      <c r="E286" s="13">
        <f t="shared" si="134"/>
        <v>2020</v>
      </c>
      <c r="F286" s="12">
        <f>LOOKUP(E286,Total_wind_installed_capacity!$A$3:$A$34,Total_wind_installed_capacity!$H$3:$H$34)</f>
        <v>741.39724999999999</v>
      </c>
      <c r="G286" s="18" t="s">
        <v>27</v>
      </c>
      <c r="H286" s="13" t="s">
        <v>22</v>
      </c>
      <c r="I286" s="18" t="s">
        <v>19</v>
      </c>
      <c r="J286" s="19">
        <v>1500</v>
      </c>
      <c r="K286" s="19">
        <v>33</v>
      </c>
      <c r="L286" s="19">
        <f t="shared" si="141"/>
        <v>49500</v>
      </c>
      <c r="N286" s="13" t="s">
        <v>24</v>
      </c>
      <c r="Q286" s="52" t="s">
        <v>20</v>
      </c>
      <c r="V286" s="6"/>
      <c r="W286" s="25"/>
      <c r="AC286" s="25"/>
      <c r="AE286" s="32"/>
      <c r="AG286" s="25"/>
      <c r="AI286" s="27"/>
      <c r="AJ286" s="20"/>
      <c r="AS286" s="6"/>
      <c r="AU286" s="25"/>
      <c r="AW286" s="6"/>
      <c r="AX286" s="29">
        <v>4.63</v>
      </c>
      <c r="AZ286" s="6"/>
      <c r="BA286" s="18" t="s">
        <v>308</v>
      </c>
    </row>
    <row r="287" spans="1:53">
      <c r="A287" s="17" t="str">
        <f t="shared" si="133"/>
        <v>\cite{Li2020}</v>
      </c>
      <c r="B287" s="13" t="s">
        <v>18</v>
      </c>
      <c r="C287" s="13">
        <v>2020</v>
      </c>
      <c r="E287" s="13">
        <f t="shared" si="134"/>
        <v>2020</v>
      </c>
      <c r="F287" s="12">
        <f>LOOKUP(E287,Total_wind_installed_capacity!$A$3:$A$34,Total_wind_installed_capacity!$H$3:$H$34)</f>
        <v>741.39724999999999</v>
      </c>
      <c r="G287" s="18" t="s">
        <v>27</v>
      </c>
      <c r="H287" s="13" t="s">
        <v>22</v>
      </c>
      <c r="I287" s="18" t="s">
        <v>19</v>
      </c>
      <c r="J287" s="19">
        <v>1500</v>
      </c>
      <c r="K287" s="19">
        <v>33</v>
      </c>
      <c r="L287" s="19">
        <f t="shared" si="141"/>
        <v>49500</v>
      </c>
      <c r="N287" s="13" t="s">
        <v>24</v>
      </c>
      <c r="Q287" s="52" t="s">
        <v>20</v>
      </c>
      <c r="V287" s="6"/>
      <c r="W287" s="25"/>
      <c r="AC287" s="25"/>
      <c r="AE287" s="32"/>
      <c r="AG287" s="25"/>
      <c r="AI287" s="27"/>
      <c r="AJ287" s="20"/>
      <c r="AS287" s="6"/>
      <c r="AU287" s="25"/>
      <c r="AW287" s="6"/>
      <c r="AX287" s="29">
        <v>2.78</v>
      </c>
      <c r="AZ287" s="6"/>
      <c r="BA287" s="18" t="s">
        <v>309</v>
      </c>
    </row>
    <row r="288" spans="1:53">
      <c r="A288" s="17" t="str">
        <f t="shared" si="133"/>
        <v>\cite{Li2020}</v>
      </c>
      <c r="B288" s="13" t="s">
        <v>18</v>
      </c>
      <c r="C288" s="13">
        <v>2020</v>
      </c>
      <c r="E288" s="13">
        <f t="shared" si="134"/>
        <v>2020</v>
      </c>
      <c r="F288" s="12">
        <f>LOOKUP(E288,Total_wind_installed_capacity!$A$3:$A$34,Total_wind_installed_capacity!$H$3:$H$34)</f>
        <v>741.39724999999999</v>
      </c>
      <c r="G288" s="18" t="s">
        <v>27</v>
      </c>
      <c r="H288" s="13" t="s">
        <v>22</v>
      </c>
      <c r="I288" s="18" t="s">
        <v>19</v>
      </c>
      <c r="J288" s="19">
        <v>1500</v>
      </c>
      <c r="K288" s="19">
        <v>33</v>
      </c>
      <c r="L288" s="19">
        <f t="shared" si="141"/>
        <v>49500</v>
      </c>
      <c r="N288" s="13" t="s">
        <v>24</v>
      </c>
      <c r="Q288" s="52" t="s">
        <v>20</v>
      </c>
      <c r="V288" s="6"/>
      <c r="W288" s="25"/>
      <c r="AC288" s="25"/>
      <c r="AE288" s="32"/>
      <c r="AG288" s="25"/>
      <c r="AI288" s="27"/>
      <c r="AJ288" s="20"/>
      <c r="AS288" s="6"/>
      <c r="AU288" s="25"/>
      <c r="AW288" s="6"/>
      <c r="AX288" s="29">
        <v>6.03</v>
      </c>
      <c r="AZ288" s="6"/>
      <c r="BA288" s="18" t="s">
        <v>310</v>
      </c>
    </row>
    <row r="289" spans="1:53">
      <c r="A289" s="17" t="str">
        <f t="shared" si="133"/>
        <v>\cite{Li2020}</v>
      </c>
      <c r="B289" s="13" t="s">
        <v>18</v>
      </c>
      <c r="C289" s="13">
        <v>2020</v>
      </c>
      <c r="E289" s="13">
        <f t="shared" si="134"/>
        <v>2020</v>
      </c>
      <c r="F289" s="12">
        <f>LOOKUP(E289,Total_wind_installed_capacity!$A$3:$A$34,Total_wind_installed_capacity!$H$3:$H$34)</f>
        <v>741.39724999999999</v>
      </c>
      <c r="G289" s="18" t="s">
        <v>27</v>
      </c>
      <c r="H289" s="13" t="s">
        <v>22</v>
      </c>
      <c r="I289" s="18" t="s">
        <v>19</v>
      </c>
      <c r="J289" s="19">
        <v>1500</v>
      </c>
      <c r="K289" s="19">
        <v>33</v>
      </c>
      <c r="L289" s="19">
        <f t="shared" si="141"/>
        <v>49500</v>
      </c>
      <c r="N289" s="13" t="s">
        <v>24</v>
      </c>
      <c r="Q289" s="52" t="s">
        <v>20</v>
      </c>
      <c r="V289" s="6"/>
      <c r="W289" s="25"/>
      <c r="AC289" s="25"/>
      <c r="AE289" s="32"/>
      <c r="AG289" s="25"/>
      <c r="AI289" s="27"/>
      <c r="AJ289" s="20"/>
      <c r="AS289" s="6"/>
      <c r="AU289" s="25"/>
      <c r="AW289" s="6"/>
      <c r="AX289" s="29">
        <v>5.0199999999999996</v>
      </c>
      <c r="AZ289" s="6"/>
      <c r="BA289" s="18" t="s">
        <v>311</v>
      </c>
    </row>
    <row r="290" spans="1:53">
      <c r="A290" s="17" t="str">
        <f t="shared" si="133"/>
        <v>\cite{Li2020}</v>
      </c>
      <c r="B290" s="13" t="s">
        <v>18</v>
      </c>
      <c r="C290" s="13">
        <v>2020</v>
      </c>
      <c r="E290" s="13">
        <f t="shared" si="134"/>
        <v>2020</v>
      </c>
      <c r="F290" s="12">
        <f>LOOKUP(E290,Total_wind_installed_capacity!$A$3:$A$34,Total_wind_installed_capacity!$H$3:$H$34)</f>
        <v>741.39724999999999</v>
      </c>
      <c r="G290" s="18" t="s">
        <v>27</v>
      </c>
      <c r="H290" s="13" t="s">
        <v>22</v>
      </c>
      <c r="I290" s="18" t="s">
        <v>19</v>
      </c>
      <c r="J290" s="19">
        <v>1500</v>
      </c>
      <c r="K290" s="19">
        <v>33</v>
      </c>
      <c r="L290" s="19">
        <f t="shared" si="141"/>
        <v>49500</v>
      </c>
      <c r="N290" s="13" t="s">
        <v>24</v>
      </c>
      <c r="Q290" s="52" t="s">
        <v>20</v>
      </c>
      <c r="V290" s="6"/>
      <c r="W290" s="25"/>
      <c r="AC290" s="25"/>
      <c r="AE290" s="32"/>
      <c r="AG290" s="25"/>
      <c r="AI290" s="27"/>
      <c r="AJ290" s="20"/>
      <c r="AS290" s="6"/>
      <c r="AU290" s="25"/>
      <c r="AW290" s="6"/>
      <c r="AX290" s="29">
        <v>3</v>
      </c>
      <c r="AZ290" s="6"/>
      <c r="BA290" s="18" t="s">
        <v>312</v>
      </c>
    </row>
    <row r="291" spans="1:53">
      <c r="A291" s="17" t="str">
        <f t="shared" si="133"/>
        <v>\cite{Li2020}</v>
      </c>
      <c r="B291" s="13" t="s">
        <v>18</v>
      </c>
      <c r="C291" s="13">
        <v>2020</v>
      </c>
      <c r="E291" s="13">
        <f t="shared" si="134"/>
        <v>2020</v>
      </c>
      <c r="F291" s="12">
        <f>LOOKUP(E291,Total_wind_installed_capacity!$A$3:$A$34,Total_wind_installed_capacity!$H$3:$H$34)</f>
        <v>741.39724999999999</v>
      </c>
      <c r="G291" s="18" t="s">
        <v>27</v>
      </c>
      <c r="H291" s="13" t="s">
        <v>22</v>
      </c>
      <c r="I291" s="18" t="s">
        <v>19</v>
      </c>
      <c r="J291" s="19">
        <v>1500</v>
      </c>
      <c r="K291" s="19">
        <v>33</v>
      </c>
      <c r="L291" s="19">
        <f t="shared" si="141"/>
        <v>49500</v>
      </c>
      <c r="N291" s="13" t="s">
        <v>24</v>
      </c>
      <c r="Q291" s="52" t="s">
        <v>20</v>
      </c>
      <c r="V291" s="6"/>
      <c r="W291" s="25"/>
      <c r="AC291" s="25"/>
      <c r="AE291" s="32"/>
      <c r="AG291" s="25"/>
      <c r="AI291" s="27"/>
      <c r="AJ291" s="20"/>
      <c r="AS291" s="6"/>
      <c r="AU291" s="25"/>
      <c r="AW291" s="6"/>
      <c r="AX291" s="29">
        <v>6.99</v>
      </c>
      <c r="AZ291" s="6"/>
      <c r="BA291" s="18" t="s">
        <v>313</v>
      </c>
    </row>
    <row r="292" spans="1:53">
      <c r="A292" s="17" t="str">
        <f t="shared" si="133"/>
        <v>\cite{Li2020}</v>
      </c>
      <c r="B292" s="13" t="s">
        <v>18</v>
      </c>
      <c r="C292" s="13">
        <v>2020</v>
      </c>
      <c r="E292" s="13">
        <f t="shared" si="134"/>
        <v>2020</v>
      </c>
      <c r="F292" s="12">
        <f>LOOKUP(E292,Total_wind_installed_capacity!$A$3:$A$34,Total_wind_installed_capacity!$H$3:$H$34)</f>
        <v>741.39724999999999</v>
      </c>
      <c r="G292" s="18" t="s">
        <v>27</v>
      </c>
      <c r="H292" s="13" t="s">
        <v>22</v>
      </c>
      <c r="I292" s="18" t="s">
        <v>19</v>
      </c>
      <c r="J292" s="19">
        <v>1500</v>
      </c>
      <c r="K292" s="19">
        <v>33</v>
      </c>
      <c r="L292" s="19">
        <f t="shared" si="141"/>
        <v>49500</v>
      </c>
      <c r="N292" s="13" t="s">
        <v>24</v>
      </c>
      <c r="Q292" s="52" t="s">
        <v>20</v>
      </c>
      <c r="V292" s="6"/>
      <c r="W292" s="25"/>
      <c r="AC292" s="25"/>
      <c r="AE292" s="32"/>
      <c r="AG292" s="25"/>
      <c r="AI292" s="27"/>
      <c r="AJ292" s="20"/>
      <c r="AS292" s="6"/>
      <c r="AU292" s="25"/>
      <c r="AW292" s="6"/>
      <c r="AX292" s="29">
        <v>5.81</v>
      </c>
      <c r="AZ292" s="6"/>
      <c r="BA292" s="18" t="s">
        <v>314</v>
      </c>
    </row>
    <row r="293" spans="1:53">
      <c r="A293" s="17" t="str">
        <f t="shared" si="133"/>
        <v>\cite{Li2020}</v>
      </c>
      <c r="B293" s="13" t="s">
        <v>18</v>
      </c>
      <c r="C293" s="13">
        <v>2020</v>
      </c>
      <c r="E293" s="13">
        <f t="shared" si="134"/>
        <v>2020</v>
      </c>
      <c r="F293" s="12">
        <f>LOOKUP(E293,Total_wind_installed_capacity!$A$3:$A$34,Total_wind_installed_capacity!$H$3:$H$34)</f>
        <v>741.39724999999999</v>
      </c>
      <c r="G293" s="18" t="s">
        <v>27</v>
      </c>
      <c r="H293" s="13" t="s">
        <v>22</v>
      </c>
      <c r="I293" s="18" t="s">
        <v>19</v>
      </c>
      <c r="J293" s="19">
        <v>1500</v>
      </c>
      <c r="K293" s="19">
        <v>33</v>
      </c>
      <c r="L293" s="19">
        <f t="shared" si="141"/>
        <v>49500</v>
      </c>
      <c r="N293" s="13" t="s">
        <v>24</v>
      </c>
      <c r="Q293" s="52" t="s">
        <v>20</v>
      </c>
      <c r="V293" s="6"/>
      <c r="W293" s="25"/>
      <c r="AC293" s="25"/>
      <c r="AE293" s="32"/>
      <c r="AG293" s="25"/>
      <c r="AI293" s="27"/>
      <c r="AJ293" s="20"/>
      <c r="AS293" s="6"/>
      <c r="AU293" s="25"/>
      <c r="AW293" s="6"/>
      <c r="AX293" s="29">
        <v>3.48</v>
      </c>
      <c r="AZ293" s="6"/>
      <c r="BA293" s="18" t="s">
        <v>315</v>
      </c>
    </row>
    <row r="294" spans="1:53">
      <c r="A294" s="17" t="str">
        <f t="shared" si="133"/>
        <v>\cite{Eickelkamp2015}</v>
      </c>
      <c r="B294" s="13" t="s">
        <v>316</v>
      </c>
      <c r="C294" s="13">
        <v>2015</v>
      </c>
      <c r="E294" s="13">
        <f t="shared" si="134"/>
        <v>2015</v>
      </c>
      <c r="F294" s="12">
        <f>LOOKUP(E294,Total_wind_installed_capacity!$A$3:$A$34,Total_wind_installed_capacity!$H$3:$H$34)</f>
        <v>427.65899999999999</v>
      </c>
      <c r="G294" s="18" t="s">
        <v>74</v>
      </c>
      <c r="H294" s="13" t="s">
        <v>33</v>
      </c>
      <c r="I294" s="18" t="s">
        <v>212</v>
      </c>
      <c r="J294" s="19">
        <v>5000</v>
      </c>
      <c r="K294" s="19">
        <v>12</v>
      </c>
      <c r="L294" s="19">
        <f t="shared" si="141"/>
        <v>60000</v>
      </c>
      <c r="M294" s="21" t="s">
        <v>317</v>
      </c>
      <c r="N294" s="13" t="s">
        <v>31</v>
      </c>
      <c r="Q294" s="52" t="s">
        <v>20</v>
      </c>
      <c r="R294" s="57">
        <f>AM294*AS294</f>
        <v>2004912000</v>
      </c>
      <c r="V294" s="6">
        <f t="shared" si="124"/>
        <v>33.415199999999999</v>
      </c>
      <c r="W294" s="25"/>
      <c r="AC294" s="25"/>
      <c r="AE294" s="32">
        <f>AM294*AX294/1000</f>
        <v>130104000</v>
      </c>
      <c r="AG294" s="25">
        <f>AE294/L294/1000</f>
        <v>2.1684000000000001</v>
      </c>
      <c r="AI294" s="27">
        <f>3900/8760</f>
        <v>0.4452054794520548</v>
      </c>
      <c r="AJ294" s="20">
        <f>AI294*8760*L294</f>
        <v>234000000</v>
      </c>
      <c r="AL294" s="13">
        <v>20</v>
      </c>
      <c r="AM294" s="20">
        <f>AJ294*AL294</f>
        <v>4680000000</v>
      </c>
      <c r="AN294" s="20">
        <f>AM294/L294*1000</f>
        <v>78000000</v>
      </c>
      <c r="AS294" s="6">
        <f>AU294*3.6</f>
        <v>0.4284</v>
      </c>
      <c r="AU294" s="25">
        <v>0.11899999999999999</v>
      </c>
      <c r="AW294" s="6"/>
      <c r="AX294" s="29">
        <v>27.8</v>
      </c>
      <c r="AZ294" s="6"/>
      <c r="BA294" s="18" t="s">
        <v>318</v>
      </c>
    </row>
    <row r="295" spans="1:53">
      <c r="A295" s="17" t="str">
        <f t="shared" si="133"/>
        <v>\cite{Eickelkamp2015}</v>
      </c>
      <c r="B295" s="13" t="s">
        <v>316</v>
      </c>
      <c r="C295" s="13">
        <v>2015</v>
      </c>
      <c r="E295" s="13">
        <f t="shared" si="134"/>
        <v>2015</v>
      </c>
      <c r="F295" s="12">
        <f>LOOKUP(E295,Total_wind_installed_capacity!$A$3:$A$34,Total_wind_installed_capacity!$H$3:$H$34)</f>
        <v>427.65899999999999</v>
      </c>
      <c r="G295" s="18" t="s">
        <v>74</v>
      </c>
      <c r="H295" s="13" t="s">
        <v>33</v>
      </c>
      <c r="I295" s="18" t="s">
        <v>212</v>
      </c>
      <c r="J295" s="19">
        <v>5000</v>
      </c>
      <c r="K295" s="19">
        <v>12</v>
      </c>
      <c r="L295" s="19">
        <f t="shared" si="141"/>
        <v>60000</v>
      </c>
      <c r="M295" s="21" t="s">
        <v>317</v>
      </c>
      <c r="N295" s="13" t="s">
        <v>31</v>
      </c>
      <c r="Q295" s="52" t="s">
        <v>20</v>
      </c>
      <c r="R295" s="57">
        <f>AM295*AS295</f>
        <v>2240784000.0000005</v>
      </c>
      <c r="V295" s="6">
        <f t="shared" si="124"/>
        <v>37.34640000000001</v>
      </c>
      <c r="W295" s="25"/>
      <c r="AC295" s="25"/>
      <c r="AE295" s="32">
        <f>AM295*AX295/1000</f>
        <v>146952000</v>
      </c>
      <c r="AG295" s="25">
        <f>AE295/L295/1000</f>
        <v>2.4491999999999998</v>
      </c>
      <c r="AI295" s="27">
        <f>3900/8760</f>
        <v>0.4452054794520548</v>
      </c>
      <c r="AJ295" s="20">
        <f>AI295*8760*L295</f>
        <v>234000000</v>
      </c>
      <c r="AL295" s="13">
        <v>20</v>
      </c>
      <c r="AM295" s="20">
        <f>AJ295*AL295</f>
        <v>4680000000</v>
      </c>
      <c r="AN295" s="20">
        <f>AM295/L295*1000</f>
        <v>78000000</v>
      </c>
      <c r="AS295" s="6">
        <f>AU295*3.6</f>
        <v>0.47880000000000006</v>
      </c>
      <c r="AU295" s="25">
        <f>AU294+0.014</f>
        <v>0.13300000000000001</v>
      </c>
      <c r="AW295" s="6"/>
      <c r="AX295" s="29">
        <f>AX294+3.6</f>
        <v>31.400000000000002</v>
      </c>
      <c r="AZ295" s="6"/>
      <c r="BA295" s="18" t="s">
        <v>319</v>
      </c>
    </row>
    <row r="296" spans="1:53">
      <c r="A296" s="17" t="str">
        <f t="shared" si="133"/>
        <v>\cite{Wang2021}</v>
      </c>
      <c r="B296" s="13" t="s">
        <v>26</v>
      </c>
      <c r="C296" s="13">
        <v>2021</v>
      </c>
      <c r="E296" s="13">
        <f t="shared" si="134"/>
        <v>2021</v>
      </c>
      <c r="F296" s="12">
        <f>LOOKUP(E296,Total_wind_installed_capacity!$A$3:$A$34,Total_wind_installed_capacity!$H$3:$H$34)</f>
        <v>741.39724999999999</v>
      </c>
      <c r="G296" s="18" t="s">
        <v>27</v>
      </c>
      <c r="I296" s="18" t="s">
        <v>19</v>
      </c>
      <c r="J296" s="19"/>
      <c r="K296" s="19"/>
      <c r="L296" s="19"/>
      <c r="M296" s="21" t="s">
        <v>320</v>
      </c>
      <c r="N296" s="13" t="s">
        <v>321</v>
      </c>
      <c r="Q296" s="52" t="s">
        <v>20</v>
      </c>
      <c r="V296" s="6"/>
      <c r="W296" s="25"/>
      <c r="AC296" s="25"/>
      <c r="AE296" s="32"/>
      <c r="AG296" s="25"/>
      <c r="AI296" s="27"/>
      <c r="AJ296" s="20">
        <f>144000000*1000</f>
        <v>144000000000</v>
      </c>
      <c r="AS296" s="6"/>
      <c r="AU296" s="25"/>
      <c r="AW296" s="6"/>
      <c r="AX296" s="29">
        <f>3180000*1000000/AJ296</f>
        <v>22.083333333333332</v>
      </c>
      <c r="AZ296" s="6"/>
      <c r="BA296" s="18" t="s">
        <v>322</v>
      </c>
    </row>
    <row r="297" spans="1:53">
      <c r="A297" s="17" t="str">
        <f t="shared" si="133"/>
        <v>\cite{Treyer2016}</v>
      </c>
      <c r="B297" s="13" t="s">
        <v>323</v>
      </c>
      <c r="C297" s="13">
        <v>2016</v>
      </c>
      <c r="E297" s="13">
        <f t="shared" si="134"/>
        <v>2016</v>
      </c>
      <c r="F297" s="12">
        <f>LOOKUP(E297,Total_wind_installed_capacity!$A$3:$A$34,Total_wind_installed_capacity!$H$3:$H$34)</f>
        <v>480.73440000000005</v>
      </c>
      <c r="G297" s="18" t="s">
        <v>27</v>
      </c>
      <c r="I297" s="18" t="s">
        <v>324</v>
      </c>
      <c r="J297" s="19">
        <v>4500</v>
      </c>
      <c r="K297" s="19">
        <v>1</v>
      </c>
      <c r="L297" s="19">
        <v>4500</v>
      </c>
      <c r="M297" s="21" t="s">
        <v>325</v>
      </c>
      <c r="N297" s="13" t="s">
        <v>24</v>
      </c>
      <c r="P297" s="13">
        <v>120</v>
      </c>
      <c r="Q297" s="52" t="s">
        <v>35</v>
      </c>
      <c r="V297" s="6"/>
      <c r="W297" s="25"/>
      <c r="AC297" s="25"/>
      <c r="AE297" s="32">
        <f>AM297*AX297/1000</f>
        <v>4860000</v>
      </c>
      <c r="AG297" s="25">
        <f>AE297/L297/1000</f>
        <v>1.08</v>
      </c>
      <c r="AI297" s="27">
        <f>1200/8760</f>
        <v>0.13698630136986301</v>
      </c>
      <c r="AJ297" s="20">
        <f>AI297*8760*L297</f>
        <v>5400000</v>
      </c>
      <c r="AL297" s="13">
        <v>20</v>
      </c>
      <c r="AM297" s="20">
        <f>AJ297*AL297</f>
        <v>108000000</v>
      </c>
      <c r="AN297" s="20">
        <f>AM297/L297*1000</f>
        <v>24000000</v>
      </c>
      <c r="AS297" s="6"/>
      <c r="AU297" s="25"/>
      <c r="AW297" s="6"/>
      <c r="AX297" s="29">
        <f>0.045*1000</f>
        <v>45</v>
      </c>
      <c r="AZ297" s="6"/>
    </row>
    <row r="298" spans="1:53">
      <c r="A298" s="17" t="str">
        <f t="shared" si="133"/>
        <v>\cite{Zhao2017}</v>
      </c>
      <c r="B298" s="13" t="s">
        <v>152</v>
      </c>
      <c r="C298" s="13">
        <v>2017</v>
      </c>
      <c r="E298" s="13">
        <f t="shared" si="134"/>
        <v>2017</v>
      </c>
      <c r="F298" s="12">
        <f>LOOKUP(E298,Total_wind_installed_capacity!$A$3:$A$34,Total_wind_installed_capacity!$H$3:$H$34)</f>
        <v>530.78719999999998</v>
      </c>
      <c r="G298" s="18" t="s">
        <v>27</v>
      </c>
      <c r="H298" s="13" t="s">
        <v>22</v>
      </c>
      <c r="I298" s="18" t="s">
        <v>19</v>
      </c>
      <c r="J298" s="19">
        <v>1500</v>
      </c>
      <c r="K298" s="19">
        <v>33</v>
      </c>
      <c r="L298" s="19">
        <f>J298*K298</f>
        <v>49500</v>
      </c>
      <c r="M298" s="21" t="s">
        <v>153</v>
      </c>
      <c r="N298" s="13" t="s">
        <v>24</v>
      </c>
      <c r="Q298" s="52" t="s">
        <v>20</v>
      </c>
      <c r="V298" s="6"/>
      <c r="W298" s="25"/>
      <c r="AC298" s="25"/>
      <c r="AE298" s="32">
        <f>29431.302*1000</f>
        <v>29431302</v>
      </c>
      <c r="AG298" s="25">
        <f>AE298/L298/1000</f>
        <v>0.59457175757575764</v>
      </c>
      <c r="AI298" s="27">
        <f>AJ298/L298/8760</f>
        <v>0.27127693168559103</v>
      </c>
      <c r="AJ298" s="20">
        <f>AM298/AL298</f>
        <v>117631103.117506</v>
      </c>
      <c r="AL298" s="13">
        <v>20</v>
      </c>
      <c r="AM298" s="20">
        <f>AE298*1000/AX298</f>
        <v>2352622062.3501201</v>
      </c>
      <c r="AN298" s="20">
        <f>AM298/L298*1000</f>
        <v>47527718.431315556</v>
      </c>
      <c r="AS298" s="6"/>
      <c r="AU298" s="25"/>
      <c r="AW298" s="6"/>
      <c r="AX298" s="29">
        <v>12.51</v>
      </c>
      <c r="AZ298" s="6"/>
      <c r="BA298" s="18" t="s">
        <v>326</v>
      </c>
    </row>
    <row r="299" spans="1:53">
      <c r="A299" s="17" t="str">
        <f t="shared" si="133"/>
        <v>\cite{Aso2015}</v>
      </c>
      <c r="B299" s="13" t="s">
        <v>327</v>
      </c>
      <c r="C299" s="13">
        <v>2015</v>
      </c>
      <c r="E299" s="13">
        <f t="shared" si="134"/>
        <v>2015</v>
      </c>
      <c r="F299" s="12">
        <f>LOOKUP(E299,Total_wind_installed_capacity!$A$3:$A$34,Total_wind_installed_capacity!$H$3:$H$34)</f>
        <v>427.65899999999999</v>
      </c>
      <c r="G299" s="18" t="s">
        <v>27</v>
      </c>
      <c r="H299" s="13" t="s">
        <v>36</v>
      </c>
      <c r="I299" s="18" t="s">
        <v>224</v>
      </c>
      <c r="J299" s="19">
        <v>2100</v>
      </c>
      <c r="K299" s="19">
        <v>1</v>
      </c>
      <c r="L299" s="19">
        <f>J299*K299</f>
        <v>2100</v>
      </c>
      <c r="N299" s="13" t="s">
        <v>24</v>
      </c>
      <c r="O299" s="13">
        <v>80</v>
      </c>
      <c r="P299" s="13">
        <v>70</v>
      </c>
      <c r="Q299" s="52" t="s">
        <v>35</v>
      </c>
      <c r="R299" s="22">
        <f>T299*3.6</f>
        <v>3276000</v>
      </c>
      <c r="T299" s="58">
        <f>910*1000</f>
        <v>910000</v>
      </c>
      <c r="V299" s="6">
        <f>R299/$L299/1000</f>
        <v>1.56</v>
      </c>
      <c r="W299" s="25"/>
      <c r="AC299" s="25"/>
      <c r="AE299" s="32">
        <f>217*1000</f>
        <v>217000</v>
      </c>
      <c r="AG299" s="25">
        <f>AE299/L299/1000</f>
        <v>0.10333333333333333</v>
      </c>
      <c r="AI299" s="27"/>
      <c r="AJ299" s="20"/>
      <c r="AS299" s="6"/>
      <c r="AU299" s="25"/>
      <c r="AW299" s="6"/>
      <c r="AX299" s="29"/>
      <c r="AZ299" s="6"/>
    </row>
    <row r="300" spans="1:53">
      <c r="A300" s="17" t="str">
        <f t="shared" si="133"/>
        <v>\cite{Aso2015}</v>
      </c>
      <c r="B300" s="13" t="s">
        <v>327</v>
      </c>
      <c r="C300" s="13">
        <v>2015</v>
      </c>
      <c r="E300" s="13">
        <f t="shared" si="134"/>
        <v>2015</v>
      </c>
      <c r="F300" s="12">
        <f>LOOKUP(E300,Total_wind_installed_capacity!$A$3:$A$34,Total_wind_installed_capacity!$H$3:$H$34)</f>
        <v>427.65899999999999</v>
      </c>
      <c r="G300" s="18" t="s">
        <v>27</v>
      </c>
      <c r="H300" s="13" t="s">
        <v>36</v>
      </c>
      <c r="I300" s="18" t="s">
        <v>224</v>
      </c>
      <c r="J300" s="19">
        <v>1600</v>
      </c>
      <c r="K300" s="19">
        <v>1</v>
      </c>
      <c r="L300" s="19">
        <f t="shared" ref="L300:L301" si="142">J300*K300</f>
        <v>1600</v>
      </c>
      <c r="N300" s="13" t="s">
        <v>24</v>
      </c>
      <c r="O300" s="13">
        <v>70</v>
      </c>
      <c r="P300" s="13">
        <v>65</v>
      </c>
      <c r="Q300" s="52" t="s">
        <v>35</v>
      </c>
      <c r="R300" s="22">
        <f t="shared" ref="R300:R301" si="143">T300*3.6</f>
        <v>2826000</v>
      </c>
      <c r="T300" s="58">
        <f>785*1000</f>
        <v>785000</v>
      </c>
      <c r="V300" s="6">
        <f t="shared" ref="V300:V301" si="144">R300/$L300/1000</f>
        <v>1.7662500000000001</v>
      </c>
      <c r="W300" s="25"/>
      <c r="AC300" s="25"/>
      <c r="AE300" s="32">
        <f>186*1000</f>
        <v>186000</v>
      </c>
      <c r="AG300" s="25">
        <f>AE300/L300/1000</f>
        <v>0.11625000000000001</v>
      </c>
      <c r="AI300" s="27"/>
      <c r="AJ300" s="20"/>
      <c r="AS300" s="6"/>
      <c r="AU300" s="25"/>
      <c r="AW300" s="6"/>
      <c r="AX300" s="29"/>
      <c r="AZ300" s="6"/>
    </row>
    <row r="301" spans="1:53" s="60" customFormat="1" ht="17" thickBot="1">
      <c r="A301" s="59" t="str">
        <f t="shared" si="133"/>
        <v>\cite{Aso2015}</v>
      </c>
      <c r="B301" s="60" t="s">
        <v>327</v>
      </c>
      <c r="C301" s="60">
        <v>2015</v>
      </c>
      <c r="E301" s="13">
        <f t="shared" si="134"/>
        <v>2015</v>
      </c>
      <c r="F301" s="12">
        <f>LOOKUP(E301,Total_wind_installed_capacity!$A$3:$A$34,Total_wind_installed_capacity!$H$3:$H$34)</f>
        <v>427.65899999999999</v>
      </c>
      <c r="G301" s="61" t="s">
        <v>27</v>
      </c>
      <c r="H301" s="60" t="s">
        <v>36</v>
      </c>
      <c r="I301" s="61" t="s">
        <v>224</v>
      </c>
      <c r="J301" s="62">
        <v>2700</v>
      </c>
      <c r="K301" s="62">
        <v>1</v>
      </c>
      <c r="L301" s="62">
        <f t="shared" si="142"/>
        <v>2700</v>
      </c>
      <c r="M301" s="63"/>
      <c r="N301" s="60" t="s">
        <v>24</v>
      </c>
      <c r="O301" s="60">
        <v>90</v>
      </c>
      <c r="P301" s="60">
        <v>80</v>
      </c>
      <c r="Q301" s="64" t="s">
        <v>35</v>
      </c>
      <c r="R301" s="65">
        <f t="shared" si="143"/>
        <v>4248000</v>
      </c>
      <c r="T301" s="66">
        <f>1180*1000</f>
        <v>1180000</v>
      </c>
      <c r="V301" s="67">
        <f t="shared" si="144"/>
        <v>1.5733333333333333</v>
      </c>
      <c r="W301" s="68"/>
      <c r="AC301" s="68"/>
      <c r="AE301" s="69">
        <f>282*1000</f>
        <v>282000</v>
      </c>
      <c r="AG301" s="68">
        <f>AE301/L301/1000</f>
        <v>0.10444444444444444</v>
      </c>
      <c r="AI301" s="70"/>
      <c r="AJ301" s="71"/>
      <c r="AK301" s="72"/>
      <c r="AM301" s="71"/>
      <c r="AN301" s="71"/>
      <c r="AO301" s="61"/>
      <c r="AS301" s="67"/>
      <c r="AU301" s="68"/>
      <c r="AW301" s="67"/>
      <c r="AX301" s="73"/>
      <c r="AZ301" s="67"/>
      <c r="BA301" s="61"/>
    </row>
    <row r="302" spans="1:53" ht="212" thickTop="1">
      <c r="A302" s="17"/>
      <c r="H302" s="2" t="s">
        <v>328</v>
      </c>
      <c r="L302" s="20"/>
      <c r="V302" s="25"/>
      <c r="W302" s="25"/>
      <c r="AU302" s="74"/>
      <c r="AW302" s="6"/>
      <c r="AZ302" s="6"/>
    </row>
    <row r="303" spans="1:53">
      <c r="L303" s="20"/>
      <c r="V303" s="25"/>
      <c r="W303" s="25"/>
      <c r="AU303" s="74"/>
      <c r="AW303" s="6"/>
      <c r="AZ303" s="6"/>
    </row>
    <row r="304" spans="1:53">
      <c r="L304" s="20"/>
      <c r="V304" s="25"/>
      <c r="W304" s="25"/>
      <c r="AU304" s="74"/>
      <c r="AW304" s="6"/>
      <c r="AZ304" s="6"/>
    </row>
    <row r="305" spans="12:52">
      <c r="L305" s="20"/>
      <c r="V305" s="25"/>
      <c r="W305" s="25"/>
      <c r="AU305" s="74"/>
      <c r="AW305" s="6"/>
      <c r="AZ305" s="6"/>
    </row>
    <row r="306" spans="12:52">
      <c r="L306" s="20"/>
      <c r="V306" s="25"/>
      <c r="W306" s="25"/>
      <c r="AU306" s="74"/>
      <c r="AW306" s="6"/>
      <c r="AZ306" s="6"/>
    </row>
    <row r="307" spans="12:52">
      <c r="L307" s="20"/>
      <c r="V307" s="25"/>
      <c r="W307" s="25"/>
      <c r="AU307" s="74"/>
      <c r="AW307" s="6"/>
      <c r="AZ307" s="6"/>
    </row>
    <row r="308" spans="12:52">
      <c r="L308" s="20"/>
      <c r="V308" s="25"/>
      <c r="W308" s="25"/>
      <c r="AU308" s="74"/>
      <c r="AW308" s="6"/>
      <c r="AZ308" s="6"/>
    </row>
    <row r="309" spans="12:52">
      <c r="L309" s="20"/>
      <c r="V309" s="25"/>
      <c r="W309" s="25"/>
      <c r="AU309" s="74"/>
      <c r="AW309" s="6"/>
      <c r="AZ309" s="6"/>
    </row>
    <row r="310" spans="12:52">
      <c r="L310" s="20"/>
      <c r="V310" s="25"/>
      <c r="W310" s="25"/>
      <c r="AU310" s="74"/>
      <c r="AW310" s="6"/>
      <c r="AZ310" s="6"/>
    </row>
    <row r="311" spans="12:52">
      <c r="L311" s="20"/>
      <c r="V311" s="25"/>
      <c r="W311" s="25"/>
      <c r="AU311" s="74"/>
      <c r="AW311" s="6"/>
      <c r="AZ311" s="6"/>
    </row>
    <row r="312" spans="12:52">
      <c r="L312" s="20"/>
      <c r="V312" s="25"/>
      <c r="W312" s="25"/>
      <c r="AU312" s="74"/>
      <c r="AW312" s="6"/>
      <c r="AZ312" s="6"/>
    </row>
    <row r="313" spans="12:52">
      <c r="V313" s="25"/>
      <c r="W313" s="25"/>
      <c r="AU313" s="74"/>
      <c r="AW313" s="6"/>
      <c r="AZ313" s="6"/>
    </row>
    <row r="314" spans="12:52">
      <c r="V314" s="25"/>
      <c r="W314" s="25"/>
      <c r="AU314" s="74"/>
      <c r="AW314" s="6"/>
      <c r="AZ314" s="6"/>
    </row>
    <row r="315" spans="12:52">
      <c r="V315" s="25"/>
      <c r="W315" s="25"/>
      <c r="AU315" s="74"/>
      <c r="AW315" s="6"/>
      <c r="AZ315" s="6"/>
    </row>
    <row r="316" spans="12:52">
      <c r="V316" s="25"/>
      <c r="W316" s="25"/>
      <c r="AU316" s="74"/>
      <c r="AW316" s="6"/>
      <c r="AZ316" s="6"/>
    </row>
    <row r="317" spans="12:52">
      <c r="V317" s="25"/>
      <c r="W317" s="25"/>
      <c r="AU317" s="74"/>
      <c r="AW317" s="6"/>
      <c r="AZ317" s="6"/>
    </row>
    <row r="318" spans="12:52">
      <c r="V318" s="25"/>
      <c r="W318" s="25"/>
      <c r="AU318" s="74"/>
      <c r="AW318" s="6"/>
      <c r="AZ318" s="6"/>
    </row>
    <row r="319" spans="12:52">
      <c r="V319" s="25"/>
      <c r="W319" s="25"/>
      <c r="AU319" s="74"/>
      <c r="AW319" s="6"/>
      <c r="AZ319" s="6"/>
    </row>
    <row r="320" spans="12:52">
      <c r="V320" s="25"/>
      <c r="W320" s="25"/>
      <c r="AU320" s="74"/>
      <c r="AW320" s="6"/>
      <c r="AZ320" s="6"/>
    </row>
    <row r="321" spans="18:52">
      <c r="V321" s="25"/>
      <c r="W321" s="25"/>
      <c r="AU321" s="74"/>
      <c r="AW321" s="6"/>
      <c r="AZ321" s="6"/>
    </row>
    <row r="322" spans="18:52">
      <c r="V322" s="25"/>
      <c r="W322" s="25"/>
      <c r="AU322" s="74"/>
      <c r="AW322" s="6"/>
      <c r="AZ322" s="6"/>
    </row>
    <row r="323" spans="18:52">
      <c r="V323" s="25"/>
      <c r="W323" s="25"/>
      <c r="AU323" s="74"/>
      <c r="AW323" s="6"/>
      <c r="AZ323" s="6"/>
    </row>
    <row r="324" spans="18:52">
      <c r="V324" s="25"/>
      <c r="W324" s="25"/>
      <c r="AU324" s="74"/>
      <c r="AW324" s="6"/>
      <c r="AZ324" s="6"/>
    </row>
    <row r="325" spans="18:52">
      <c r="V325" s="25"/>
      <c r="W325" s="25"/>
      <c r="AU325" s="74"/>
      <c r="AW325" s="6"/>
      <c r="AZ325" s="6"/>
    </row>
    <row r="326" spans="18:52">
      <c r="V326" s="25"/>
      <c r="W326" s="25"/>
      <c r="AU326" s="74"/>
      <c r="AW326" s="6"/>
      <c r="AZ326" s="6"/>
    </row>
    <row r="327" spans="18:52">
      <c r="V327" s="25"/>
      <c r="W327" s="25"/>
      <c r="AU327" s="74"/>
      <c r="AW327" s="6"/>
      <c r="AZ327" s="6"/>
    </row>
    <row r="328" spans="18:52">
      <c r="V328" s="25"/>
      <c r="W328" s="25"/>
      <c r="AU328" s="74"/>
      <c r="AW328" s="6"/>
      <c r="AZ328" s="6"/>
    </row>
    <row r="329" spans="18:52">
      <c r="V329" s="25"/>
      <c r="W329" s="25"/>
      <c r="AU329" s="74"/>
    </row>
    <row r="330" spans="18:52">
      <c r="V330" s="25"/>
      <c r="W330" s="25"/>
      <c r="AU330" s="74"/>
    </row>
    <row r="331" spans="18:52">
      <c r="V331" s="25"/>
      <c r="W331" s="25"/>
      <c r="AU331" s="74"/>
    </row>
    <row r="332" spans="18:52">
      <c r="V332" s="25"/>
      <c r="W332" s="25"/>
      <c r="AU332" s="74"/>
    </row>
    <row r="333" spans="18:52">
      <c r="V333" s="25"/>
      <c r="W333" s="25"/>
      <c r="AU333" s="74"/>
    </row>
    <row r="334" spans="18:52">
      <c r="V334" s="25"/>
      <c r="W334" s="25"/>
      <c r="AU334" s="74"/>
    </row>
    <row r="335" spans="18:52">
      <c r="R335" s="75"/>
      <c r="V335" s="25"/>
      <c r="W335" s="25"/>
      <c r="AI335" s="76"/>
      <c r="AJ335" s="77"/>
      <c r="AK335" s="77"/>
      <c r="AM335" s="78"/>
      <c r="AN335" s="78"/>
      <c r="AU335" s="74"/>
    </row>
    <row r="336" spans="18:52">
      <c r="R336" s="75"/>
      <c r="V336" s="25"/>
      <c r="W336" s="25"/>
      <c r="AI336" s="76"/>
      <c r="AJ336" s="77"/>
      <c r="AK336" s="77"/>
      <c r="AM336" s="78"/>
      <c r="AN336" s="78"/>
      <c r="AU336" s="74"/>
    </row>
    <row r="337" spans="1:53">
      <c r="R337" s="79"/>
      <c r="V337" s="25"/>
      <c r="W337" s="25"/>
      <c r="AI337" s="76"/>
      <c r="AJ337" s="77"/>
      <c r="AK337" s="77"/>
      <c r="AM337" s="78"/>
      <c r="AN337" s="78"/>
      <c r="AU337" s="74"/>
    </row>
    <row r="338" spans="1:53">
      <c r="R338" s="79"/>
      <c r="V338" s="25"/>
      <c r="W338" s="25"/>
      <c r="AI338" s="76"/>
      <c r="AJ338" s="77"/>
      <c r="AK338" s="77"/>
      <c r="AM338" s="78"/>
      <c r="AN338" s="78"/>
      <c r="AU338" s="74"/>
    </row>
    <row r="339" spans="1:53">
      <c r="R339" s="79"/>
      <c r="V339" s="25"/>
      <c r="W339" s="25"/>
      <c r="AI339" s="76"/>
      <c r="AJ339" s="77"/>
      <c r="AK339" s="77"/>
      <c r="AM339" s="78"/>
      <c r="AN339" s="78"/>
      <c r="AU339" s="74"/>
    </row>
    <row r="340" spans="1:53">
      <c r="M340" s="80"/>
      <c r="R340" s="79"/>
      <c r="V340" s="25"/>
      <c r="W340" s="25"/>
      <c r="AI340" s="76"/>
      <c r="AJ340" s="77"/>
      <c r="AK340" s="77"/>
      <c r="AM340" s="78"/>
      <c r="AN340" s="78"/>
      <c r="AU340" s="74"/>
      <c r="AW340" s="6"/>
      <c r="AZ340" s="6"/>
    </row>
    <row r="341" spans="1:53">
      <c r="R341" s="79"/>
      <c r="V341" s="25"/>
      <c r="W341" s="25"/>
      <c r="AI341" s="76"/>
      <c r="AJ341" s="77"/>
      <c r="AK341" s="77"/>
      <c r="AM341" s="78"/>
      <c r="AN341" s="78"/>
      <c r="AU341" s="74"/>
      <c r="AW341" s="6"/>
      <c r="AZ341" s="6"/>
    </row>
    <row r="342" spans="1:53">
      <c r="R342" s="79"/>
      <c r="V342" s="25"/>
      <c r="W342" s="25"/>
      <c r="AI342" s="76"/>
      <c r="AJ342" s="77"/>
      <c r="AK342" s="77"/>
      <c r="AM342" s="78"/>
      <c r="AN342" s="78"/>
      <c r="AU342" s="74"/>
      <c r="AW342" s="6"/>
      <c r="AZ342" s="6"/>
    </row>
    <row r="343" spans="1:53">
      <c r="R343" s="79"/>
      <c r="V343" s="25"/>
      <c r="W343" s="25"/>
      <c r="AI343" s="76"/>
      <c r="AJ343" s="77"/>
      <c r="AK343" s="77"/>
      <c r="AM343" s="78"/>
      <c r="AN343" s="78"/>
      <c r="AU343" s="74"/>
      <c r="AW343" s="6"/>
      <c r="AZ343" s="6"/>
    </row>
    <row r="344" spans="1:53">
      <c r="R344" s="79"/>
      <c r="V344" s="25"/>
      <c r="W344" s="25"/>
      <c r="AI344" s="76"/>
      <c r="AJ344" s="77"/>
      <c r="AK344" s="77"/>
      <c r="AM344" s="78"/>
      <c r="AN344" s="78"/>
      <c r="AU344" s="74"/>
      <c r="AW344" s="6"/>
      <c r="AZ344" s="6"/>
    </row>
    <row r="345" spans="1:53">
      <c r="R345" s="79"/>
      <c r="V345" s="25"/>
      <c r="W345" s="25"/>
      <c r="AI345" s="76"/>
      <c r="AJ345" s="77"/>
      <c r="AK345" s="77"/>
      <c r="AM345" s="78"/>
      <c r="AN345" s="78"/>
      <c r="AU345" s="74"/>
      <c r="AW345" s="6"/>
      <c r="AZ345" s="6"/>
    </row>
    <row r="346" spans="1:53">
      <c r="R346" s="79"/>
      <c r="V346" s="25"/>
      <c r="W346" s="25"/>
      <c r="AI346" s="76"/>
      <c r="AJ346" s="77"/>
      <c r="AK346" s="77"/>
      <c r="AM346" s="78"/>
      <c r="AN346" s="78"/>
      <c r="AU346" s="74"/>
      <c r="AW346" s="6"/>
      <c r="AZ346" s="6"/>
    </row>
    <row r="347" spans="1:53">
      <c r="R347" s="79"/>
      <c r="V347" s="25"/>
      <c r="W347" s="25"/>
      <c r="AI347" s="76"/>
      <c r="AJ347" s="77"/>
      <c r="AK347" s="77"/>
      <c r="AM347" s="78"/>
      <c r="AN347" s="78"/>
      <c r="AU347" s="74"/>
      <c r="AW347" s="6"/>
      <c r="AZ347" s="6"/>
    </row>
    <row r="348" spans="1:53" s="81" customFormat="1">
      <c r="A348" s="13"/>
      <c r="G348" s="82"/>
      <c r="I348" s="82"/>
      <c r="M348" s="83"/>
      <c r="R348" s="79"/>
      <c r="V348" s="84"/>
      <c r="W348" s="84"/>
      <c r="AE348" s="82"/>
      <c r="AI348" s="85"/>
      <c r="AJ348" s="86"/>
      <c r="AK348" s="86"/>
      <c r="AM348" s="87"/>
      <c r="AN348" s="87"/>
      <c r="AO348" s="82"/>
      <c r="AU348" s="88"/>
      <c r="AW348" s="6"/>
      <c r="AX348" s="82"/>
      <c r="AZ348" s="6"/>
      <c r="BA348" s="82"/>
    </row>
    <row r="349" spans="1:53" s="81" customFormat="1">
      <c r="A349" s="13"/>
      <c r="G349" s="82"/>
      <c r="I349" s="82"/>
      <c r="M349" s="83"/>
      <c r="R349" s="79"/>
      <c r="V349" s="84"/>
      <c r="W349" s="84"/>
      <c r="AE349" s="82"/>
      <c r="AI349" s="85"/>
      <c r="AJ349" s="86"/>
      <c r="AK349" s="86"/>
      <c r="AM349" s="87"/>
      <c r="AN349" s="87"/>
      <c r="AO349" s="82"/>
      <c r="AU349" s="88"/>
      <c r="AW349" s="6"/>
      <c r="AX349" s="82"/>
      <c r="AZ349" s="6"/>
      <c r="BA349" s="82"/>
    </row>
    <row r="350" spans="1:53">
      <c r="R350" s="79"/>
      <c r="V350" s="25"/>
      <c r="W350" s="25"/>
      <c r="AI350" s="76"/>
      <c r="AJ350" s="77"/>
      <c r="AK350" s="77"/>
      <c r="AM350" s="78"/>
      <c r="AN350" s="78"/>
      <c r="AU350" s="74"/>
      <c r="AW350" s="6"/>
      <c r="AZ350" s="6"/>
    </row>
    <row r="351" spans="1:53">
      <c r="R351" s="79"/>
      <c r="V351" s="25"/>
      <c r="W351" s="25"/>
      <c r="AI351" s="76"/>
      <c r="AJ351" s="77"/>
      <c r="AK351" s="77"/>
      <c r="AM351" s="78"/>
      <c r="AN351" s="78"/>
      <c r="AU351" s="74"/>
      <c r="AW351" s="6"/>
      <c r="AZ351" s="6"/>
    </row>
    <row r="352" spans="1:53">
      <c r="V352" s="25"/>
      <c r="W352" s="25"/>
      <c r="AU352" s="74"/>
      <c r="AW352" s="6"/>
      <c r="AZ352" s="6"/>
    </row>
    <row r="353" spans="8:52">
      <c r="V353" s="25"/>
      <c r="W353" s="25"/>
      <c r="AU353" s="74"/>
      <c r="AW353" s="6"/>
      <c r="AZ353" s="6"/>
    </row>
    <row r="354" spans="8:52">
      <c r="V354" s="25"/>
      <c r="W354" s="25"/>
      <c r="AU354" s="74"/>
      <c r="AW354" s="6"/>
      <c r="AZ354" s="6"/>
    </row>
    <row r="355" spans="8:52">
      <c r="V355" s="25"/>
      <c r="W355" s="25"/>
      <c r="AU355" s="74"/>
      <c r="AW355" s="6"/>
      <c r="AZ355" s="6"/>
    </row>
    <row r="356" spans="8:52">
      <c r="V356" s="25"/>
      <c r="W356" s="25"/>
      <c r="AU356" s="74"/>
      <c r="AW356" s="6"/>
      <c r="AZ356" s="6"/>
    </row>
    <row r="357" spans="8:52">
      <c r="V357" s="25"/>
      <c r="W357" s="25"/>
      <c r="AU357" s="74"/>
      <c r="AW357" s="6"/>
      <c r="AZ357" s="6"/>
    </row>
    <row r="358" spans="8:52">
      <c r="V358" s="25"/>
      <c r="W358" s="25"/>
      <c r="AU358" s="74"/>
      <c r="AW358" s="6"/>
      <c r="AZ358" s="6"/>
    </row>
    <row r="359" spans="8:52">
      <c r="V359" s="25"/>
      <c r="W359" s="25"/>
      <c r="AU359" s="74"/>
      <c r="AW359" s="6"/>
      <c r="AZ359" s="6"/>
    </row>
    <row r="360" spans="8:52">
      <c r="V360" s="25"/>
      <c r="W360" s="25"/>
      <c r="AU360" s="74"/>
      <c r="AW360" s="6"/>
      <c r="AZ360" s="6"/>
    </row>
    <row r="361" spans="8:52">
      <c r="V361" s="25"/>
      <c r="W361" s="25"/>
      <c r="AU361" s="74"/>
      <c r="AW361" s="6"/>
      <c r="AZ361" s="6"/>
    </row>
    <row r="362" spans="8:52" ht="15" customHeight="1"/>
    <row r="363" spans="8:52">
      <c r="H363" s="2"/>
    </row>
  </sheetData>
  <pageMargins left="0.75" right="0.75" top="1" bottom="1" header="0.5" footer="0.5"/>
  <pageSetup orientation="portrait" horizontalDpi="4294967292" verticalDpi="429496729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91C23-D14D-3446-95A0-B08688632EEC}">
  <dimension ref="A1:M33"/>
  <sheetViews>
    <sheetView workbookViewId="0">
      <selection activeCell="M39" sqref="M39"/>
    </sheetView>
  </sheetViews>
  <sheetFormatPr baseColWidth="10" defaultColWidth="10.6640625" defaultRowHeight="16"/>
  <cols>
    <col min="1" max="1" width="10.6640625" style="89"/>
    <col min="2" max="2" width="12.1640625" style="90" bestFit="1" customWidth="1"/>
    <col min="3" max="7" width="10.6640625" style="90"/>
    <col min="8" max="9" width="10.6640625" style="89"/>
    <col min="10" max="10" width="10.6640625" style="90"/>
    <col min="11" max="11" width="13.83203125" style="90" bestFit="1" customWidth="1"/>
    <col min="12" max="16384" width="10.6640625" style="90"/>
  </cols>
  <sheetData>
    <row r="1" spans="1:13" s="89" customFormat="1">
      <c r="B1" s="231" t="s">
        <v>384</v>
      </c>
      <c r="C1" s="231"/>
      <c r="D1" s="231"/>
      <c r="E1" s="231"/>
      <c r="F1" s="231"/>
      <c r="G1" s="231"/>
      <c r="H1" s="231"/>
      <c r="I1" s="231"/>
    </row>
    <row r="2" spans="1:13">
      <c r="A2" s="89" t="s">
        <v>385</v>
      </c>
      <c r="B2" s="90" t="s">
        <v>386</v>
      </c>
      <c r="C2" s="90" t="s">
        <v>387</v>
      </c>
      <c r="D2" s="90" t="s">
        <v>388</v>
      </c>
      <c r="E2" s="90" t="s">
        <v>389</v>
      </c>
      <c r="F2" s="90" t="s">
        <v>390</v>
      </c>
      <c r="G2" s="90" t="s">
        <v>391</v>
      </c>
      <c r="H2" s="89" t="s">
        <v>392</v>
      </c>
      <c r="I2" s="89" t="s">
        <v>393</v>
      </c>
      <c r="K2" s="89" t="s">
        <v>394</v>
      </c>
    </row>
    <row r="3" spans="1:13">
      <c r="A3" s="89">
        <v>1990</v>
      </c>
      <c r="B3" s="91">
        <v>2372.0100000000002</v>
      </c>
      <c r="C3" s="91">
        <v>2100</v>
      </c>
      <c r="D3" s="91"/>
      <c r="E3" s="91"/>
      <c r="F3" s="91"/>
      <c r="G3" s="91"/>
      <c r="H3" s="92">
        <f>AVERAGE(B3:G3)/1000</f>
        <v>2.236005</v>
      </c>
      <c r="I3" s="92">
        <f>STDEV(B3:G3)/2000</f>
        <v>9.6170057775276471E-2</v>
      </c>
      <c r="K3" s="93"/>
    </row>
    <row r="4" spans="1:13">
      <c r="A4" s="89">
        <v>1991</v>
      </c>
      <c r="B4" s="91">
        <v>2661.01</v>
      </c>
      <c r="C4" s="91">
        <v>2400</v>
      </c>
      <c r="D4" s="91"/>
      <c r="E4" s="91"/>
      <c r="F4" s="91"/>
      <c r="G4" s="91"/>
      <c r="H4" s="92">
        <f t="shared" ref="H4:H33" si="0">AVERAGE(B4:G4)/1000</f>
        <v>2.5305050000000002</v>
      </c>
      <c r="I4" s="92">
        <f t="shared" ref="I4:I33" si="1">STDEV(B4:G4)/2000</f>
        <v>9.228097047875046E-2</v>
      </c>
      <c r="K4" s="93">
        <f t="shared" ref="K4:K33" si="2">H4/H3-1</f>
        <v>0.13170811335395061</v>
      </c>
    </row>
    <row r="5" spans="1:13">
      <c r="A5" s="89">
        <v>1992</v>
      </c>
      <c r="B5" s="91">
        <v>2757.31</v>
      </c>
      <c r="C5" s="91">
        <v>2600</v>
      </c>
      <c r="D5" s="91"/>
      <c r="E5" s="91"/>
      <c r="F5" s="91"/>
      <c r="G5" s="91"/>
      <c r="H5" s="92">
        <f t="shared" si="0"/>
        <v>2.6786549999999996</v>
      </c>
      <c r="I5" s="92">
        <f t="shared" si="1"/>
        <v>5.561748387422788E-2</v>
      </c>
      <c r="K5" s="93">
        <f t="shared" si="2"/>
        <v>5.8545626268274198E-2</v>
      </c>
    </row>
    <row r="6" spans="1:13">
      <c r="A6" s="89">
        <v>1993</v>
      </c>
      <c r="B6" s="91">
        <v>3104.51</v>
      </c>
      <c r="C6" s="91">
        <v>2700</v>
      </c>
      <c r="D6" s="91"/>
      <c r="E6" s="91"/>
      <c r="F6" s="91"/>
      <c r="G6" s="91"/>
      <c r="H6" s="92">
        <f t="shared" si="0"/>
        <v>2.9022550000000003</v>
      </c>
      <c r="I6" s="92">
        <f t="shared" si="1"/>
        <v>0.14301588202888524</v>
      </c>
      <c r="K6" s="93">
        <f t="shared" si="2"/>
        <v>8.3474728921791197E-2</v>
      </c>
    </row>
    <row r="7" spans="1:13">
      <c r="A7" s="89">
        <v>1994</v>
      </c>
      <c r="B7" s="91">
        <v>3487.71</v>
      </c>
      <c r="C7" s="91">
        <v>3200</v>
      </c>
      <c r="D7" s="91"/>
      <c r="E7" s="91"/>
      <c r="F7" s="91"/>
      <c r="G7" s="91"/>
      <c r="H7" s="92">
        <f t="shared" si="0"/>
        <v>3.343855</v>
      </c>
      <c r="I7" s="92">
        <f t="shared" si="1"/>
        <v>0.10172084600759081</v>
      </c>
      <c r="K7" s="93">
        <f t="shared" si="2"/>
        <v>0.15215754645956325</v>
      </c>
    </row>
    <row r="8" spans="1:13">
      <c r="A8" s="89">
        <v>1995</v>
      </c>
      <c r="B8" s="91">
        <v>4420.71</v>
      </c>
      <c r="C8" s="91">
        <v>4000</v>
      </c>
      <c r="D8" s="91"/>
      <c r="E8" s="91"/>
      <c r="F8" s="91"/>
      <c r="G8" s="91"/>
      <c r="H8" s="92">
        <f t="shared" si="0"/>
        <v>4.2103549999999998</v>
      </c>
      <c r="I8" s="92">
        <f t="shared" si="1"/>
        <v>0.14874344695649622</v>
      </c>
      <c r="K8" s="93">
        <f t="shared" si="2"/>
        <v>0.25913204968516879</v>
      </c>
    </row>
    <row r="9" spans="1:13">
      <c r="A9" s="89">
        <v>1996</v>
      </c>
      <c r="B9" s="91">
        <v>6047.71</v>
      </c>
      <c r="C9" s="91">
        <v>5300.0000000000009</v>
      </c>
      <c r="D9" s="91"/>
      <c r="E9" s="91"/>
      <c r="F9" s="91"/>
      <c r="G9" s="91"/>
      <c r="H9" s="92">
        <f t="shared" si="0"/>
        <v>5.6738550000000005</v>
      </c>
      <c r="I9" s="92">
        <f t="shared" si="1"/>
        <v>0.26435540568049642</v>
      </c>
      <c r="K9" s="93">
        <f t="shared" si="2"/>
        <v>0.34759539278754414</v>
      </c>
    </row>
    <row r="10" spans="1:13">
      <c r="A10" s="89">
        <v>1997</v>
      </c>
      <c r="B10" s="91">
        <v>7231.4</v>
      </c>
      <c r="C10" s="91">
        <v>6199.9999999999991</v>
      </c>
      <c r="D10" s="91"/>
      <c r="E10" s="91"/>
      <c r="F10" s="91"/>
      <c r="G10" s="91"/>
      <c r="H10" s="92">
        <f t="shared" si="0"/>
        <v>6.7156999999999991</v>
      </c>
      <c r="I10" s="92">
        <f t="shared" si="1"/>
        <v>0.36465496705790273</v>
      </c>
      <c r="K10" s="93">
        <f t="shared" si="2"/>
        <v>0.18362207000355113</v>
      </c>
    </row>
    <row r="11" spans="1:13">
      <c r="A11" s="89">
        <v>1998</v>
      </c>
      <c r="B11" s="91">
        <v>9168.5999999999985</v>
      </c>
      <c r="C11" s="91">
        <v>8300</v>
      </c>
      <c r="D11" s="91"/>
      <c r="E11" s="91"/>
      <c r="F11" s="91"/>
      <c r="G11" s="91"/>
      <c r="H11" s="92">
        <f t="shared" si="0"/>
        <v>8.7342999999999993</v>
      </c>
      <c r="I11" s="92">
        <f t="shared" si="1"/>
        <v>0.30709647506931709</v>
      </c>
      <c r="K11" s="93">
        <f t="shared" si="2"/>
        <v>0.30057923969206501</v>
      </c>
    </row>
    <row r="12" spans="1:13">
      <c r="A12" s="89">
        <v>1999</v>
      </c>
      <c r="B12" s="91">
        <v>12844.2</v>
      </c>
      <c r="C12" s="91">
        <v>11899.999999999998</v>
      </c>
      <c r="D12" s="91"/>
      <c r="E12" s="91"/>
      <c r="F12" s="91"/>
      <c r="G12" s="91"/>
      <c r="H12" s="92">
        <f t="shared" si="0"/>
        <v>12.372099999999998</v>
      </c>
      <c r="I12" s="92">
        <f t="shared" si="1"/>
        <v>0.33382511139817</v>
      </c>
      <c r="K12" s="93">
        <f t="shared" si="2"/>
        <v>0.41649588404336901</v>
      </c>
    </row>
    <row r="13" spans="1:13">
      <c r="A13" s="89">
        <v>2000</v>
      </c>
      <c r="B13" s="91">
        <v>15941.220000000001</v>
      </c>
      <c r="C13" s="91">
        <v>15699.999999999998</v>
      </c>
      <c r="D13" s="91"/>
      <c r="E13" s="91">
        <v>17400</v>
      </c>
      <c r="F13" s="91"/>
      <c r="G13" s="91"/>
      <c r="H13" s="92">
        <f t="shared" si="0"/>
        <v>16.347073333333334</v>
      </c>
      <c r="I13" s="92">
        <f t="shared" si="1"/>
        <v>0.45990153732438593</v>
      </c>
      <c r="K13" s="93">
        <f t="shared" si="2"/>
        <v>0.32128525742059444</v>
      </c>
    </row>
    <row r="14" spans="1:13">
      <c r="A14" s="89">
        <v>2001</v>
      </c>
      <c r="B14" s="91">
        <v>22274.62</v>
      </c>
      <c r="C14" s="91">
        <v>22799.999999999996</v>
      </c>
      <c r="D14" s="91">
        <v>24322</v>
      </c>
      <c r="E14" s="91">
        <v>23900</v>
      </c>
      <c r="F14" s="91"/>
      <c r="G14" s="91"/>
      <c r="H14" s="92">
        <f t="shared" si="0"/>
        <v>23.324154999999998</v>
      </c>
      <c r="I14" s="92">
        <f t="shared" si="1"/>
        <v>0.47465375874595911</v>
      </c>
      <c r="K14" s="93">
        <f t="shared" si="2"/>
        <v>0.4268092229353182</v>
      </c>
      <c r="M14" s="230">
        <f>E14-E13</f>
        <v>6500</v>
      </c>
    </row>
    <row r="15" spans="1:13">
      <c r="A15" s="89">
        <v>2002</v>
      </c>
      <c r="B15" s="91">
        <v>29061.119999999999</v>
      </c>
      <c r="C15" s="91">
        <v>29699.999999999996</v>
      </c>
      <c r="D15" s="91">
        <v>31181</v>
      </c>
      <c r="E15" s="91">
        <v>31100</v>
      </c>
      <c r="F15" s="91"/>
      <c r="G15" s="91"/>
      <c r="H15" s="92">
        <f t="shared" si="0"/>
        <v>30.260529999999999</v>
      </c>
      <c r="I15" s="92">
        <f t="shared" si="1"/>
        <v>0.52478194922589882</v>
      </c>
      <c r="K15" s="93">
        <f t="shared" si="2"/>
        <v>0.2973901948430715</v>
      </c>
      <c r="M15" s="230">
        <f t="shared" ref="M15:M33" si="3">E15-E14</f>
        <v>7200</v>
      </c>
    </row>
    <row r="16" spans="1:13">
      <c r="A16" s="89">
        <v>2003</v>
      </c>
      <c r="B16" s="91">
        <v>36428.17</v>
      </c>
      <c r="C16" s="91">
        <v>37300</v>
      </c>
      <c r="D16" s="91">
        <v>39295</v>
      </c>
      <c r="E16" s="91">
        <v>39431</v>
      </c>
      <c r="F16" s="91"/>
      <c r="G16" s="91"/>
      <c r="H16" s="92">
        <f t="shared" si="0"/>
        <v>38.113542499999994</v>
      </c>
      <c r="I16" s="92">
        <f t="shared" si="1"/>
        <v>0.74352022790657846</v>
      </c>
      <c r="K16" s="93">
        <f t="shared" si="2"/>
        <v>0.25951338261425017</v>
      </c>
      <c r="M16" s="230">
        <f t="shared" si="3"/>
        <v>8331</v>
      </c>
    </row>
    <row r="17" spans="1:13">
      <c r="A17" s="89">
        <v>2004</v>
      </c>
      <c r="B17" s="91">
        <v>43984.869999999995</v>
      </c>
      <c r="C17" s="91">
        <v>46300.000000000015</v>
      </c>
      <c r="D17" s="91">
        <v>47681</v>
      </c>
      <c r="E17" s="91">
        <v>47620</v>
      </c>
      <c r="F17" s="91"/>
      <c r="G17" s="91"/>
      <c r="H17" s="92">
        <f t="shared" si="0"/>
        <v>46.3964675</v>
      </c>
      <c r="I17" s="92">
        <f t="shared" si="1"/>
        <v>0.86468510658866538</v>
      </c>
      <c r="K17" s="93">
        <f t="shared" si="2"/>
        <v>0.2173223598934686</v>
      </c>
      <c r="M17" s="230">
        <f t="shared" si="3"/>
        <v>8189</v>
      </c>
    </row>
    <row r="18" spans="1:13">
      <c r="A18" s="89">
        <v>2005</v>
      </c>
      <c r="B18" s="91">
        <v>54063.07</v>
      </c>
      <c r="C18" s="91">
        <v>58300.000000000015</v>
      </c>
      <c r="D18" s="91">
        <v>59012</v>
      </c>
      <c r="E18" s="91">
        <v>59091</v>
      </c>
      <c r="F18" s="91"/>
      <c r="G18" s="91"/>
      <c r="H18" s="92">
        <f t="shared" si="0"/>
        <v>57.6165175</v>
      </c>
      <c r="I18" s="92">
        <f t="shared" si="1"/>
        <v>1.1977620629628067</v>
      </c>
      <c r="K18" s="93">
        <f t="shared" si="2"/>
        <v>0.2418298332734059</v>
      </c>
      <c r="M18" s="230">
        <f t="shared" si="3"/>
        <v>11471</v>
      </c>
    </row>
    <row r="19" spans="1:13">
      <c r="A19" s="89">
        <v>2006</v>
      </c>
      <c r="B19" s="91">
        <v>66652.599999999991</v>
      </c>
      <c r="C19" s="91">
        <v>73200.000000000015</v>
      </c>
      <c r="D19" s="91">
        <v>74112</v>
      </c>
      <c r="E19" s="91">
        <v>73957</v>
      </c>
      <c r="F19" s="91"/>
      <c r="G19" s="91"/>
      <c r="H19" s="92">
        <f t="shared" si="0"/>
        <v>71.980399999999989</v>
      </c>
      <c r="I19" s="92">
        <f t="shared" si="1"/>
        <v>1.7870726323609079</v>
      </c>
      <c r="K19" s="93">
        <f t="shared" si="2"/>
        <v>0.2493014698432614</v>
      </c>
      <c r="M19" s="230">
        <f t="shared" si="3"/>
        <v>14866</v>
      </c>
    </row>
    <row r="20" spans="1:13">
      <c r="A20" s="89">
        <v>2007</v>
      </c>
      <c r="B20" s="91">
        <v>83837.457999999984</v>
      </c>
      <c r="C20" s="91">
        <v>92600</v>
      </c>
      <c r="D20" s="91">
        <v>93919</v>
      </c>
      <c r="E20" s="91">
        <v>93924</v>
      </c>
      <c r="F20" s="91"/>
      <c r="G20" s="91"/>
      <c r="H20" s="92">
        <f t="shared" si="0"/>
        <v>91.070114500000003</v>
      </c>
      <c r="I20" s="92">
        <f t="shared" si="1"/>
        <v>2.4309237052562831</v>
      </c>
      <c r="K20" s="93">
        <f t="shared" si="2"/>
        <v>0.26520711888236259</v>
      </c>
      <c r="M20" s="230">
        <f t="shared" si="3"/>
        <v>19967</v>
      </c>
    </row>
    <row r="21" spans="1:13">
      <c r="A21" s="89">
        <v>2008</v>
      </c>
      <c r="B21" s="91">
        <v>106244.978</v>
      </c>
      <c r="C21" s="91">
        <v>119800</v>
      </c>
      <c r="D21" s="91">
        <v>120894</v>
      </c>
      <c r="E21" s="91">
        <v>120690</v>
      </c>
      <c r="F21" s="91"/>
      <c r="G21" s="91"/>
      <c r="H21" s="92">
        <f t="shared" si="0"/>
        <v>116.9072445</v>
      </c>
      <c r="I21" s="92">
        <f t="shared" si="1"/>
        <v>3.5620151119060277</v>
      </c>
      <c r="K21" s="93">
        <f t="shared" si="2"/>
        <v>0.28370591320602756</v>
      </c>
      <c r="M21" s="230">
        <f t="shared" si="3"/>
        <v>26766</v>
      </c>
    </row>
    <row r="22" spans="1:13">
      <c r="A22" s="89">
        <v>2009</v>
      </c>
      <c r="B22" s="91">
        <v>139223.89800000002</v>
      </c>
      <c r="C22" s="91">
        <v>147500.00000000003</v>
      </c>
      <c r="D22" s="91">
        <v>159742</v>
      </c>
      <c r="E22" s="91">
        <v>159016</v>
      </c>
      <c r="F22" s="91"/>
      <c r="G22" s="91"/>
      <c r="H22" s="92">
        <f t="shared" si="0"/>
        <v>151.3704745</v>
      </c>
      <c r="I22" s="92">
        <f t="shared" si="1"/>
        <v>4.9249060303539673</v>
      </c>
      <c r="K22" s="93">
        <f t="shared" si="2"/>
        <v>0.29479122656081413</v>
      </c>
      <c r="M22" s="230">
        <f t="shared" si="3"/>
        <v>38326</v>
      </c>
    </row>
    <row r="23" spans="1:13">
      <c r="A23" s="89">
        <v>2010</v>
      </c>
      <c r="B23" s="91">
        <v>167903.21</v>
      </c>
      <c r="C23" s="91">
        <v>171299.99999999997</v>
      </c>
      <c r="D23" s="91">
        <v>196944</v>
      </c>
      <c r="E23" s="91">
        <v>197946</v>
      </c>
      <c r="F23" s="91"/>
      <c r="G23" s="91"/>
      <c r="H23" s="92">
        <f t="shared" si="0"/>
        <v>183.5233025</v>
      </c>
      <c r="I23" s="92">
        <f t="shared" si="1"/>
        <v>8.070139085325998</v>
      </c>
      <c r="K23" s="93">
        <f t="shared" si="2"/>
        <v>0.21241148979816393</v>
      </c>
      <c r="M23" s="230">
        <f t="shared" si="3"/>
        <v>38930</v>
      </c>
    </row>
    <row r="24" spans="1:13">
      <c r="A24" s="89">
        <v>2011</v>
      </c>
      <c r="B24" s="91">
        <v>204551.52</v>
      </c>
      <c r="C24" s="91">
        <v>218800.00000000003</v>
      </c>
      <c r="D24" s="91">
        <v>236803</v>
      </c>
      <c r="E24" s="91">
        <v>238089</v>
      </c>
      <c r="F24" s="91">
        <v>239921.00000000003</v>
      </c>
      <c r="G24" s="91"/>
      <c r="H24" s="92">
        <f t="shared" si="0"/>
        <v>227.632904</v>
      </c>
      <c r="I24" s="92">
        <f t="shared" si="1"/>
        <v>7.7265305439453247</v>
      </c>
      <c r="K24" s="93">
        <f t="shared" si="2"/>
        <v>0.24034877805231303</v>
      </c>
      <c r="M24" s="230">
        <f t="shared" si="3"/>
        <v>40143</v>
      </c>
    </row>
    <row r="25" spans="1:13">
      <c r="A25" s="89">
        <v>2012</v>
      </c>
      <c r="B25" s="91">
        <v>250979.35000000006</v>
      </c>
      <c r="C25" s="91">
        <v>266699.99999999994</v>
      </c>
      <c r="D25" s="91">
        <v>282866</v>
      </c>
      <c r="E25" s="91">
        <v>282842</v>
      </c>
      <c r="F25" s="91"/>
      <c r="G25" s="91"/>
      <c r="H25" s="92">
        <f t="shared" si="0"/>
        <v>270.84683750000005</v>
      </c>
      <c r="I25" s="92">
        <f t="shared" si="1"/>
        <v>7.6390308690352038</v>
      </c>
      <c r="K25" s="93">
        <f t="shared" si="2"/>
        <v>0.18984045250329906</v>
      </c>
      <c r="M25" s="230">
        <f t="shared" si="3"/>
        <v>44753</v>
      </c>
    </row>
    <row r="26" spans="1:13">
      <c r="A26" s="89">
        <v>2013</v>
      </c>
      <c r="B26" s="91">
        <v>302384.91000000009</v>
      </c>
      <c r="C26" s="91">
        <v>301700</v>
      </c>
      <c r="D26" s="91">
        <v>318919</v>
      </c>
      <c r="E26" s="91">
        <v>318463</v>
      </c>
      <c r="F26" s="91"/>
      <c r="G26" s="91"/>
      <c r="H26" s="92">
        <f t="shared" si="0"/>
        <v>310.36672750000002</v>
      </c>
      <c r="I26" s="92">
        <f t="shared" si="1"/>
        <v>4.8089549234654712</v>
      </c>
      <c r="K26" s="93">
        <f t="shared" si="2"/>
        <v>0.14591231843347607</v>
      </c>
      <c r="M26" s="230">
        <f t="shared" si="3"/>
        <v>35621</v>
      </c>
    </row>
    <row r="27" spans="1:13">
      <c r="A27" s="89">
        <v>2014</v>
      </c>
      <c r="B27" s="91">
        <v>352300</v>
      </c>
      <c r="C27" s="91">
        <v>349400</v>
      </c>
      <c r="D27" s="91">
        <v>371336</v>
      </c>
      <c r="E27" s="91">
        <v>369705</v>
      </c>
      <c r="F27" s="91"/>
      <c r="G27" s="91"/>
      <c r="H27" s="92">
        <f t="shared" si="0"/>
        <v>360.68525</v>
      </c>
      <c r="I27" s="92">
        <f t="shared" si="1"/>
        <v>5.7188551502172764</v>
      </c>
      <c r="K27" s="93">
        <f t="shared" si="2"/>
        <v>0.1621260207410602</v>
      </c>
      <c r="M27" s="230">
        <f t="shared" si="3"/>
        <v>51242</v>
      </c>
    </row>
    <row r="28" spans="1:13">
      <c r="A28" s="89">
        <v>2015</v>
      </c>
      <c r="B28" s="91">
        <v>417400</v>
      </c>
      <c r="C28" s="91">
        <v>415900</v>
      </c>
      <c r="D28" s="91">
        <v>436828</v>
      </c>
      <c r="E28" s="91">
        <v>432883</v>
      </c>
      <c r="F28" s="91"/>
      <c r="G28" s="91">
        <v>435284</v>
      </c>
      <c r="H28" s="92">
        <f t="shared" si="0"/>
        <v>427.65899999999999</v>
      </c>
      <c r="I28" s="92">
        <f t="shared" si="1"/>
        <v>5.0807388980344186</v>
      </c>
      <c r="K28" s="93">
        <f t="shared" si="2"/>
        <v>0.18568474868323559</v>
      </c>
      <c r="M28" s="230">
        <f t="shared" si="3"/>
        <v>63178</v>
      </c>
    </row>
    <row r="29" spans="1:13">
      <c r="A29" s="89">
        <v>2016</v>
      </c>
      <c r="B29" s="91">
        <v>473800</v>
      </c>
      <c r="C29" s="91">
        <v>466400</v>
      </c>
      <c r="D29" s="91">
        <v>488508</v>
      </c>
      <c r="E29" s="91">
        <v>488000</v>
      </c>
      <c r="F29" s="91"/>
      <c r="G29" s="91">
        <v>486964</v>
      </c>
      <c r="H29" s="92">
        <f t="shared" si="0"/>
        <v>480.73440000000005</v>
      </c>
      <c r="I29" s="92">
        <f t="shared" si="1"/>
        <v>5.0347954476820602</v>
      </c>
      <c r="K29" s="93">
        <f t="shared" si="2"/>
        <v>0.12410682342707635</v>
      </c>
      <c r="M29" s="230">
        <f t="shared" si="3"/>
        <v>55117</v>
      </c>
    </row>
    <row r="30" spans="1:13">
      <c r="A30" s="89">
        <v>2017</v>
      </c>
      <c r="B30" s="91">
        <v>519600</v>
      </c>
      <c r="C30" s="91">
        <v>514200</v>
      </c>
      <c r="D30" s="91">
        <v>540840</v>
      </c>
      <c r="E30" s="91">
        <v>540000</v>
      </c>
      <c r="F30" s="91"/>
      <c r="G30" s="91">
        <v>539296</v>
      </c>
      <c r="H30" s="92">
        <f t="shared" si="0"/>
        <v>530.78719999999998</v>
      </c>
      <c r="I30" s="92">
        <f t="shared" si="1"/>
        <v>6.4159118447809114</v>
      </c>
      <c r="K30" s="93">
        <f t="shared" si="2"/>
        <v>0.10411736709501107</v>
      </c>
      <c r="M30" s="230">
        <f t="shared" si="3"/>
        <v>52000</v>
      </c>
    </row>
    <row r="31" spans="1:13">
      <c r="A31" s="89">
        <v>2018</v>
      </c>
      <c r="B31" s="91">
        <v>566600</v>
      </c>
      <c r="C31" s="91">
        <v>563800</v>
      </c>
      <c r="D31" s="91">
        <v>591091</v>
      </c>
      <c r="E31" s="91">
        <v>591000</v>
      </c>
      <c r="F31" s="91"/>
      <c r="G31" s="91">
        <v>589531</v>
      </c>
      <c r="H31" s="92">
        <f t="shared" si="0"/>
        <v>580.40440000000001</v>
      </c>
      <c r="I31" s="92">
        <f t="shared" si="1"/>
        <v>6.9643401751350433</v>
      </c>
      <c r="K31" s="93">
        <f t="shared" si="2"/>
        <v>9.3478516437472514E-2</v>
      </c>
      <c r="M31" s="230">
        <f t="shared" si="3"/>
        <v>51000</v>
      </c>
    </row>
    <row r="32" spans="1:13">
      <c r="A32" s="89">
        <v>2019</v>
      </c>
      <c r="B32" s="91"/>
      <c r="C32" s="91">
        <v>622200</v>
      </c>
      <c r="D32" s="91">
        <v>650758</v>
      </c>
      <c r="E32" s="91">
        <v>650000</v>
      </c>
      <c r="F32" s="91"/>
      <c r="G32" s="91">
        <v>650785</v>
      </c>
      <c r="H32" s="92">
        <f t="shared" si="0"/>
        <v>643.43574999999998</v>
      </c>
      <c r="I32" s="92">
        <f t="shared" si="1"/>
        <v>7.0809208249468982</v>
      </c>
      <c r="K32" s="93">
        <f t="shared" si="2"/>
        <v>0.10859902164766488</v>
      </c>
      <c r="M32" s="230">
        <f t="shared" si="3"/>
        <v>59000</v>
      </c>
    </row>
    <row r="33" spans="1:13">
      <c r="A33" s="89">
        <v>2020</v>
      </c>
      <c r="B33" s="91"/>
      <c r="C33" s="91">
        <v>735900</v>
      </c>
      <c r="D33" s="91">
        <v>742689</v>
      </c>
      <c r="E33" s="91">
        <v>743000</v>
      </c>
      <c r="F33" s="91"/>
      <c r="G33" s="91">
        <v>744000</v>
      </c>
      <c r="H33" s="92">
        <f t="shared" si="0"/>
        <v>741.39724999999999</v>
      </c>
      <c r="I33" s="92">
        <f t="shared" si="1"/>
        <v>1.8536336106415419</v>
      </c>
      <c r="K33" s="93">
        <f t="shared" si="2"/>
        <v>0.15224752432546684</v>
      </c>
      <c r="M33" s="230">
        <f t="shared" si="3"/>
        <v>93000</v>
      </c>
    </row>
  </sheetData>
  <mergeCells count="1">
    <mergeCell ref="B1:I1"/>
  </mergeCells>
  <pageMargins left="0.75" right="0.75" top="1" bottom="1" header="0.5" footer="0.5"/>
  <pageSetup orientation="portrait" horizontalDpi="4294967292" verticalDpi="429496729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025C3-880B-3341-A706-49AD263BA618}">
  <dimension ref="A1:BE828"/>
  <sheetViews>
    <sheetView tabSelected="1" topLeftCell="BA1" workbookViewId="0">
      <selection activeCell="BD2" sqref="BD2:BD828"/>
    </sheetView>
  </sheetViews>
  <sheetFormatPr baseColWidth="10" defaultRowHeight="16"/>
  <cols>
    <col min="1" max="1" width="24.83203125" bestFit="1" customWidth="1"/>
    <col min="3" max="3" width="16.6640625" customWidth="1"/>
    <col min="4" max="4" width="16.83203125" customWidth="1"/>
    <col min="5" max="5" width="23" customWidth="1"/>
    <col min="6" max="6" width="14.5" customWidth="1"/>
    <col min="8" max="8" width="25.33203125" customWidth="1"/>
    <col min="9" max="9" width="17.33203125" customWidth="1"/>
    <col min="10" max="10" width="19.83203125" customWidth="1"/>
    <col min="12" max="12" width="13.5" customWidth="1"/>
    <col min="13" max="13" width="16" customWidth="1"/>
    <col min="14" max="14" width="17" customWidth="1"/>
    <col min="15" max="15" width="21.5" customWidth="1"/>
    <col min="16" max="16" width="18.5" customWidth="1"/>
    <col min="17" max="17" width="30.5" customWidth="1"/>
    <col min="18" max="18" width="34.6640625" customWidth="1"/>
    <col min="19" max="19" width="29.5" customWidth="1"/>
    <col min="20" max="20" width="34" customWidth="1"/>
    <col min="21" max="21" width="13.83203125" customWidth="1"/>
    <col min="22" max="22" width="26.5" customWidth="1"/>
    <col min="23" max="23" width="12" customWidth="1"/>
    <col min="24" max="24" width="15.83203125" customWidth="1"/>
    <col min="25" max="25" width="20.33203125" customWidth="1"/>
    <col min="26" max="26" width="30.33203125" customWidth="1"/>
    <col min="27" max="27" width="25.1640625" customWidth="1"/>
    <col min="28" max="28" width="12.33203125" customWidth="1"/>
    <col min="29" max="29" width="25.1640625" customWidth="1"/>
    <col min="30" max="30" width="16.33203125" customWidth="1"/>
    <col min="31" max="31" width="19.5" customWidth="1"/>
    <col min="32" max="32" width="19.1640625" customWidth="1"/>
    <col min="33" max="33" width="19.6640625" customWidth="1"/>
    <col min="34" max="34" width="31.5" customWidth="1"/>
    <col min="35" max="35" width="23" customWidth="1"/>
    <col min="36" max="36" width="29.6640625" customWidth="1"/>
    <col min="37" max="37" width="14.33203125" customWidth="1"/>
    <col min="38" max="38" width="11.5" customWidth="1"/>
    <col min="39" max="39" width="27.6640625" customWidth="1"/>
    <col min="40" max="40" width="20.6640625" customWidth="1"/>
    <col min="41" max="41" width="23.33203125" customWidth="1"/>
    <col min="42" max="42" width="35.6640625" customWidth="1"/>
    <col min="43" max="43" width="33" customWidth="1"/>
    <col min="44" max="44" width="37.1640625" customWidth="1"/>
    <col min="45" max="45" width="33" customWidth="1"/>
    <col min="46" max="46" width="37.1640625" customWidth="1"/>
    <col min="47" max="47" width="18.5" customWidth="1"/>
    <col min="48" max="48" width="23" customWidth="1"/>
    <col min="49" max="49" width="34.1640625" customWidth="1"/>
    <col min="50" max="50" width="38.5" customWidth="1"/>
    <col min="51" max="51" width="30.1640625" customWidth="1"/>
    <col min="52" max="52" width="37.6640625" customWidth="1"/>
    <col min="53" max="53" width="34.83203125" customWidth="1"/>
    <col min="54" max="54" width="37.33203125" customWidth="1"/>
    <col min="55" max="55" width="41.83203125" customWidth="1"/>
    <col min="56" max="56" width="28" customWidth="1"/>
    <col min="57" max="57" width="30.5" customWidth="1"/>
  </cols>
  <sheetData>
    <row r="1" spans="1:57">
      <c r="A1" s="232" t="s">
        <v>331</v>
      </c>
      <c r="B1" s="233" t="s">
        <v>0</v>
      </c>
      <c r="C1" s="233" t="s">
        <v>332</v>
      </c>
      <c r="D1" s="233" t="s">
        <v>1</v>
      </c>
      <c r="E1" s="233" t="s">
        <v>2</v>
      </c>
      <c r="F1" s="233" t="s">
        <v>14</v>
      </c>
      <c r="G1" s="233" t="s">
        <v>3</v>
      </c>
      <c r="H1" s="233" t="s">
        <v>826</v>
      </c>
      <c r="I1" s="233" t="s">
        <v>4</v>
      </c>
      <c r="J1" s="233" t="s">
        <v>15</v>
      </c>
      <c r="K1" s="233" t="s">
        <v>458</v>
      </c>
      <c r="L1" s="233" t="s">
        <v>16</v>
      </c>
      <c r="M1" s="233" t="s">
        <v>825</v>
      </c>
      <c r="N1" s="233" t="s">
        <v>824</v>
      </c>
      <c r="O1" s="233" t="s">
        <v>823</v>
      </c>
      <c r="P1" s="233" t="s">
        <v>822</v>
      </c>
      <c r="Q1" s="233" t="s">
        <v>821</v>
      </c>
      <c r="R1" s="233" t="s">
        <v>820</v>
      </c>
      <c r="S1" s="233" t="s">
        <v>819</v>
      </c>
      <c r="T1" s="233" t="s">
        <v>818</v>
      </c>
      <c r="U1" s="233" t="s">
        <v>817</v>
      </c>
      <c r="V1" s="233" t="s">
        <v>11</v>
      </c>
      <c r="W1" s="233" t="s">
        <v>12</v>
      </c>
      <c r="X1" s="233" t="s">
        <v>329</v>
      </c>
      <c r="Y1" s="233" t="s">
        <v>330</v>
      </c>
      <c r="Z1" s="233" t="s">
        <v>816</v>
      </c>
      <c r="AA1" s="233" t="s">
        <v>815</v>
      </c>
      <c r="AB1" s="233" t="s">
        <v>17</v>
      </c>
      <c r="AC1" s="233" t="s">
        <v>814</v>
      </c>
      <c r="AD1" s="233" t="s">
        <v>333</v>
      </c>
      <c r="AE1" s="233" t="s">
        <v>813</v>
      </c>
      <c r="AF1" s="233" t="s">
        <v>812</v>
      </c>
      <c r="AG1" s="233" t="s">
        <v>811</v>
      </c>
      <c r="AH1" s="233" t="s">
        <v>810</v>
      </c>
      <c r="AI1" s="233" t="s">
        <v>809</v>
      </c>
      <c r="AJ1" s="233" t="s">
        <v>808</v>
      </c>
      <c r="AK1" s="233" t="s">
        <v>807</v>
      </c>
      <c r="AL1" s="233" t="s">
        <v>806</v>
      </c>
      <c r="AM1" s="233" t="s">
        <v>805</v>
      </c>
      <c r="AN1" s="233" t="s">
        <v>596</v>
      </c>
      <c r="AO1" s="233" t="s">
        <v>576</v>
      </c>
      <c r="AP1" s="233" t="s">
        <v>804</v>
      </c>
      <c r="AQ1" s="233" t="s">
        <v>803</v>
      </c>
      <c r="AR1" s="233" t="s">
        <v>802</v>
      </c>
      <c r="AS1" s="233" t="s">
        <v>801</v>
      </c>
      <c r="AT1" s="233" t="s">
        <v>800</v>
      </c>
      <c r="AU1" s="233" t="s">
        <v>799</v>
      </c>
      <c r="AV1" s="233" t="s">
        <v>798</v>
      </c>
      <c r="AW1" s="233" t="s">
        <v>797</v>
      </c>
      <c r="AX1" s="233" t="s">
        <v>796</v>
      </c>
      <c r="AY1" s="233" t="s">
        <v>795</v>
      </c>
      <c r="AZ1" s="233" t="s">
        <v>794</v>
      </c>
      <c r="BA1" s="233" t="s">
        <v>793</v>
      </c>
      <c r="BB1" s="233" t="s">
        <v>792</v>
      </c>
      <c r="BC1" s="233" t="s">
        <v>791</v>
      </c>
      <c r="BD1" s="233" t="s">
        <v>790</v>
      </c>
      <c r="BE1" s="234" t="s">
        <v>789</v>
      </c>
    </row>
    <row r="2" spans="1:57">
      <c r="A2" s="236" t="s">
        <v>562</v>
      </c>
      <c r="B2" s="235" t="s">
        <v>428</v>
      </c>
      <c r="C2" s="235">
        <v>1977</v>
      </c>
      <c r="D2" s="235"/>
      <c r="E2" s="235">
        <v>1977</v>
      </c>
      <c r="F2" s="235" t="s">
        <v>109</v>
      </c>
      <c r="G2" s="235" t="s">
        <v>214</v>
      </c>
      <c r="H2" s="235">
        <v>1500</v>
      </c>
      <c r="I2" s="235">
        <v>1</v>
      </c>
      <c r="J2" s="235" t="s">
        <v>358</v>
      </c>
      <c r="K2" s="235"/>
      <c r="L2" s="235"/>
      <c r="M2" s="235">
        <v>50</v>
      </c>
      <c r="N2" s="235">
        <v>11</v>
      </c>
      <c r="O2" s="235"/>
      <c r="P2" s="235">
        <v>3</v>
      </c>
      <c r="Q2" s="235"/>
      <c r="R2" s="235"/>
      <c r="S2" s="235"/>
      <c r="T2" s="235"/>
      <c r="U2" s="235">
        <v>30</v>
      </c>
      <c r="V2" s="235"/>
      <c r="W2" s="235"/>
      <c r="X2" s="235">
        <v>43.5</v>
      </c>
      <c r="Y2" s="235"/>
      <c r="Z2" s="235">
        <v>0.08</v>
      </c>
      <c r="AA2" s="235"/>
      <c r="AB2" s="235"/>
      <c r="AC2" s="235">
        <v>0.69</v>
      </c>
      <c r="AD2" s="235" t="s">
        <v>357</v>
      </c>
      <c r="AE2" s="235">
        <v>60</v>
      </c>
      <c r="AF2" s="235">
        <v>0.504</v>
      </c>
      <c r="AG2" s="235">
        <v>1500</v>
      </c>
      <c r="AH2" s="235">
        <v>16442218</v>
      </c>
      <c r="AI2" s="235"/>
      <c r="AJ2" s="235"/>
      <c r="AK2" s="235" t="s">
        <v>689</v>
      </c>
      <c r="AL2" s="235" t="s">
        <v>597</v>
      </c>
      <c r="AM2" s="235"/>
      <c r="AN2" s="235"/>
      <c r="AO2" s="235" t="s">
        <v>356</v>
      </c>
      <c r="AP2" s="235"/>
      <c r="AQ2" s="235">
        <v>4567283</v>
      </c>
      <c r="AR2" s="235"/>
      <c r="AS2" s="235"/>
      <c r="AT2" s="235"/>
      <c r="AU2" s="235"/>
      <c r="AV2" s="235"/>
      <c r="AW2" s="235">
        <v>6622560</v>
      </c>
      <c r="AX2" s="235"/>
      <c r="AY2" s="235">
        <v>198676800</v>
      </c>
      <c r="AZ2" s="235">
        <v>132451200</v>
      </c>
      <c r="BA2" s="235"/>
      <c r="BB2" s="235">
        <v>0.02</v>
      </c>
      <c r="BC2" s="235"/>
      <c r="BD2" s="235"/>
      <c r="BE2" s="241"/>
    </row>
    <row r="3" spans="1:57">
      <c r="A3" s="236" t="s">
        <v>562</v>
      </c>
      <c r="B3" s="235" t="s">
        <v>428</v>
      </c>
      <c r="C3" s="235">
        <v>1980</v>
      </c>
      <c r="D3" s="235"/>
      <c r="E3" s="235">
        <v>1980</v>
      </c>
      <c r="F3" s="235" t="s">
        <v>109</v>
      </c>
      <c r="G3" s="235" t="s">
        <v>30</v>
      </c>
      <c r="H3" s="235">
        <v>1000</v>
      </c>
      <c r="I3" s="235">
        <v>1</v>
      </c>
      <c r="J3" s="235"/>
      <c r="K3" s="235"/>
      <c r="L3" s="235" t="s">
        <v>24</v>
      </c>
      <c r="M3" s="235"/>
      <c r="N3" s="235">
        <v>11.5</v>
      </c>
      <c r="O3" s="235"/>
      <c r="P3" s="235">
        <v>3.2</v>
      </c>
      <c r="Q3" s="235"/>
      <c r="R3" s="235"/>
      <c r="S3" s="235"/>
      <c r="T3" s="235"/>
      <c r="U3" s="235">
        <v>25</v>
      </c>
      <c r="V3" s="235"/>
      <c r="W3" s="235"/>
      <c r="X3" s="235">
        <v>12.5</v>
      </c>
      <c r="Y3" s="235"/>
      <c r="Z3" s="235">
        <v>0.28999999999999998</v>
      </c>
      <c r="AA3" s="235"/>
      <c r="AB3" s="235"/>
      <c r="AC3" s="235">
        <v>2</v>
      </c>
      <c r="AD3" s="235" t="s">
        <v>338</v>
      </c>
      <c r="AE3" s="235">
        <v>46</v>
      </c>
      <c r="AF3" s="235">
        <v>0.183</v>
      </c>
      <c r="AG3" s="235">
        <v>1000</v>
      </c>
      <c r="AH3" s="235">
        <v>11542176</v>
      </c>
      <c r="AI3" s="235"/>
      <c r="AJ3" s="235"/>
      <c r="AK3" s="235" t="s">
        <v>689</v>
      </c>
      <c r="AL3" s="235" t="s">
        <v>597</v>
      </c>
      <c r="AM3" s="235"/>
      <c r="AN3" s="235"/>
      <c r="AO3" s="235" t="s">
        <v>356</v>
      </c>
      <c r="AP3" s="235"/>
      <c r="AQ3" s="235">
        <v>3206160</v>
      </c>
      <c r="AR3" s="235"/>
      <c r="AS3" s="235"/>
      <c r="AT3" s="235"/>
      <c r="AU3" s="235"/>
      <c r="AV3" s="235"/>
      <c r="AW3" s="235">
        <v>1603080</v>
      </c>
      <c r="AX3" s="235"/>
      <c r="AY3" s="235">
        <v>40077000</v>
      </c>
      <c r="AZ3" s="235">
        <v>40077000</v>
      </c>
      <c r="BA3" s="235"/>
      <c r="BB3" s="235">
        <v>0.08</v>
      </c>
      <c r="BC3" s="235"/>
      <c r="BD3" s="235"/>
      <c r="BE3" s="241"/>
    </row>
    <row r="4" spans="1:57">
      <c r="A4" s="236" t="s">
        <v>562</v>
      </c>
      <c r="B4" s="235" t="s">
        <v>428</v>
      </c>
      <c r="C4" s="235">
        <v>1980</v>
      </c>
      <c r="D4" s="235"/>
      <c r="E4" s="235">
        <v>1980</v>
      </c>
      <c r="F4" s="235" t="s">
        <v>109</v>
      </c>
      <c r="G4" s="235" t="s">
        <v>30</v>
      </c>
      <c r="H4" s="235">
        <v>1000</v>
      </c>
      <c r="I4" s="235">
        <v>1</v>
      </c>
      <c r="J4" s="235"/>
      <c r="K4" s="235"/>
      <c r="L4" s="235"/>
      <c r="M4" s="235"/>
      <c r="N4" s="235">
        <v>23.7</v>
      </c>
      <c r="O4" s="235"/>
      <c r="P4" s="235">
        <v>6.6</v>
      </c>
      <c r="Q4" s="235"/>
      <c r="R4" s="235"/>
      <c r="S4" s="235"/>
      <c r="T4" s="235"/>
      <c r="U4" s="235">
        <v>25</v>
      </c>
      <c r="V4" s="235"/>
      <c r="W4" s="235"/>
      <c r="X4" s="235">
        <v>6.1</v>
      </c>
      <c r="Y4" s="235"/>
      <c r="Z4" s="235">
        <v>0.59</v>
      </c>
      <c r="AA4" s="235"/>
      <c r="AB4" s="235"/>
      <c r="AC4" s="235">
        <v>4.0999999999999996</v>
      </c>
      <c r="AD4" s="235" t="s">
        <v>338</v>
      </c>
      <c r="AE4" s="235">
        <v>46</v>
      </c>
      <c r="AF4" s="235">
        <v>0.183</v>
      </c>
      <c r="AG4" s="235">
        <v>1000</v>
      </c>
      <c r="AH4" s="235">
        <v>23652000</v>
      </c>
      <c r="AI4" s="235"/>
      <c r="AJ4" s="235"/>
      <c r="AK4" s="235" t="s">
        <v>689</v>
      </c>
      <c r="AL4" s="235" t="s">
        <v>597</v>
      </c>
      <c r="AM4" s="235"/>
      <c r="AN4" s="235"/>
      <c r="AO4" s="235" t="s">
        <v>356</v>
      </c>
      <c r="AP4" s="235"/>
      <c r="AQ4" s="235">
        <v>6570000</v>
      </c>
      <c r="AR4" s="235"/>
      <c r="AS4" s="235"/>
      <c r="AT4" s="235"/>
      <c r="AU4" s="235"/>
      <c r="AV4" s="235"/>
      <c r="AW4" s="235">
        <v>1603080</v>
      </c>
      <c r="AX4" s="235"/>
      <c r="AY4" s="235">
        <v>40077000</v>
      </c>
      <c r="AZ4" s="235">
        <v>40077000</v>
      </c>
      <c r="BA4" s="235"/>
      <c r="BB4" s="235">
        <v>0.16</v>
      </c>
      <c r="BC4" s="235"/>
      <c r="BD4" s="235"/>
      <c r="BE4" s="241"/>
    </row>
    <row r="5" spans="1:57">
      <c r="A5" s="236" t="s">
        <v>562</v>
      </c>
      <c r="B5" s="235" t="s">
        <v>428</v>
      </c>
      <c r="C5" s="235">
        <v>1981</v>
      </c>
      <c r="D5" s="235"/>
      <c r="E5" s="235">
        <v>1981</v>
      </c>
      <c r="F5" s="235" t="s">
        <v>109</v>
      </c>
      <c r="G5" s="235" t="s">
        <v>214</v>
      </c>
      <c r="H5" s="235">
        <v>3</v>
      </c>
      <c r="I5" s="235">
        <v>1</v>
      </c>
      <c r="J5" s="235"/>
      <c r="K5" s="235"/>
      <c r="L5" s="235"/>
      <c r="M5" s="235">
        <v>20</v>
      </c>
      <c r="N5" s="235">
        <v>169</v>
      </c>
      <c r="O5" s="235"/>
      <c r="P5" s="235">
        <v>47</v>
      </c>
      <c r="Q5" s="235"/>
      <c r="R5" s="235"/>
      <c r="S5" s="235"/>
      <c r="T5" s="235"/>
      <c r="U5" s="235">
        <v>20</v>
      </c>
      <c r="V5" s="235"/>
      <c r="W5" s="235"/>
      <c r="X5" s="235">
        <v>1</v>
      </c>
      <c r="Y5" s="235"/>
      <c r="Z5" s="235">
        <v>3.6</v>
      </c>
      <c r="AA5" s="235"/>
      <c r="AB5" s="235"/>
      <c r="AC5" s="235">
        <v>20</v>
      </c>
      <c r="AD5" s="235" t="s">
        <v>341</v>
      </c>
      <c r="AE5" s="235">
        <v>4.3</v>
      </c>
      <c r="AF5" s="235">
        <v>0.26800000000000002</v>
      </c>
      <c r="AG5" s="235">
        <v>3</v>
      </c>
      <c r="AH5" s="235">
        <v>507099</v>
      </c>
      <c r="AI5" s="235"/>
      <c r="AJ5" s="235"/>
      <c r="AK5" s="235" t="s">
        <v>689</v>
      </c>
      <c r="AL5" s="235" t="s">
        <v>597</v>
      </c>
      <c r="AM5" s="235"/>
      <c r="AN5" s="235"/>
      <c r="AO5" s="235" t="s">
        <v>340</v>
      </c>
      <c r="AP5" s="235"/>
      <c r="AQ5" s="235">
        <v>140861</v>
      </c>
      <c r="AR5" s="235"/>
      <c r="AS5" s="235"/>
      <c r="AT5" s="235"/>
      <c r="AU5" s="235"/>
      <c r="AV5" s="235"/>
      <c r="AW5" s="235">
        <v>7043.04</v>
      </c>
      <c r="AX5" s="235"/>
      <c r="AY5" s="235">
        <v>140860.79999999999</v>
      </c>
      <c r="AZ5" s="235">
        <v>46953600</v>
      </c>
      <c r="BA5" s="235"/>
      <c r="BB5" s="235">
        <v>1</v>
      </c>
      <c r="BC5" s="235"/>
      <c r="BD5" s="235"/>
      <c r="BE5" s="241"/>
    </row>
    <row r="6" spans="1:57">
      <c r="A6" s="236" t="s">
        <v>562</v>
      </c>
      <c r="B6" s="235" t="s">
        <v>428</v>
      </c>
      <c r="C6" s="235">
        <v>1983</v>
      </c>
      <c r="D6" s="235"/>
      <c r="E6" s="235">
        <v>1983</v>
      </c>
      <c r="F6" s="235" t="s">
        <v>109</v>
      </c>
      <c r="G6" s="235" t="s">
        <v>212</v>
      </c>
      <c r="H6" s="235">
        <v>2</v>
      </c>
      <c r="I6" s="235">
        <v>1</v>
      </c>
      <c r="J6" s="235"/>
      <c r="K6" s="235"/>
      <c r="L6" s="235"/>
      <c r="M6" s="235"/>
      <c r="N6" s="235">
        <v>94</v>
      </c>
      <c r="O6" s="235"/>
      <c r="P6" s="235">
        <v>26.1</v>
      </c>
      <c r="Q6" s="235"/>
      <c r="R6" s="235"/>
      <c r="S6" s="235"/>
      <c r="T6" s="235"/>
      <c r="U6" s="235">
        <v>15</v>
      </c>
      <c r="V6" s="235"/>
      <c r="W6" s="235"/>
      <c r="X6" s="235">
        <v>2.2999999999999998</v>
      </c>
      <c r="Y6" s="235"/>
      <c r="Z6" s="235">
        <v>1.57</v>
      </c>
      <c r="AA6" s="235"/>
      <c r="AB6" s="235"/>
      <c r="AC6" s="235">
        <v>6.52</v>
      </c>
      <c r="AD6" s="235" t="s">
        <v>338</v>
      </c>
      <c r="AE6" s="235"/>
      <c r="AF6" s="235">
        <v>0.45700000000000002</v>
      </c>
      <c r="AG6" s="235">
        <v>2</v>
      </c>
      <c r="AH6" s="235">
        <v>187982</v>
      </c>
      <c r="AI6" s="235"/>
      <c r="AJ6" s="235"/>
      <c r="AK6" s="235" t="s">
        <v>689</v>
      </c>
      <c r="AL6" s="235" t="s">
        <v>597</v>
      </c>
      <c r="AM6" s="235"/>
      <c r="AN6" s="235"/>
      <c r="AO6" s="235" t="s">
        <v>340</v>
      </c>
      <c r="AP6" s="235"/>
      <c r="AQ6" s="235">
        <v>52217</v>
      </c>
      <c r="AR6" s="235"/>
      <c r="AS6" s="235"/>
      <c r="AT6" s="235"/>
      <c r="AU6" s="235"/>
      <c r="AV6" s="235"/>
      <c r="AW6" s="235">
        <v>8006.64</v>
      </c>
      <c r="AX6" s="235"/>
      <c r="AY6" s="235">
        <v>120099.6</v>
      </c>
      <c r="AZ6" s="235">
        <v>60049800</v>
      </c>
      <c r="BA6" s="235"/>
      <c r="BB6" s="235">
        <v>0.43</v>
      </c>
      <c r="BC6" s="235"/>
      <c r="BD6" s="235"/>
      <c r="BE6" s="241"/>
    </row>
    <row r="7" spans="1:57">
      <c r="A7" s="236" t="s">
        <v>562</v>
      </c>
      <c r="B7" s="235" t="s">
        <v>428</v>
      </c>
      <c r="C7" s="235">
        <v>1983</v>
      </c>
      <c r="D7" s="235"/>
      <c r="E7" s="235">
        <v>1983</v>
      </c>
      <c r="F7" s="235" t="s">
        <v>109</v>
      </c>
      <c r="G7" s="235" t="s">
        <v>212</v>
      </c>
      <c r="H7" s="235">
        <v>6</v>
      </c>
      <c r="I7" s="235">
        <v>1</v>
      </c>
      <c r="J7" s="235"/>
      <c r="K7" s="235"/>
      <c r="L7" s="235"/>
      <c r="M7" s="235"/>
      <c r="N7" s="235">
        <v>63.6</v>
      </c>
      <c r="O7" s="235"/>
      <c r="P7" s="235">
        <v>17.7</v>
      </c>
      <c r="Q7" s="235"/>
      <c r="R7" s="235"/>
      <c r="S7" s="235"/>
      <c r="T7" s="235"/>
      <c r="U7" s="235">
        <v>15</v>
      </c>
      <c r="V7" s="235"/>
      <c r="W7" s="235"/>
      <c r="X7" s="235">
        <v>3.4</v>
      </c>
      <c r="Y7" s="235"/>
      <c r="Z7" s="235">
        <v>1.06</v>
      </c>
      <c r="AA7" s="235"/>
      <c r="AB7" s="235"/>
      <c r="AC7" s="235">
        <v>4.41</v>
      </c>
      <c r="AD7" s="235" t="s">
        <v>338</v>
      </c>
      <c r="AE7" s="235"/>
      <c r="AF7" s="235">
        <v>0.45700000000000002</v>
      </c>
      <c r="AG7" s="235">
        <v>6</v>
      </c>
      <c r="AH7" s="235">
        <v>381493</v>
      </c>
      <c r="AI7" s="235"/>
      <c r="AJ7" s="235"/>
      <c r="AK7" s="235" t="s">
        <v>689</v>
      </c>
      <c r="AL7" s="235" t="s">
        <v>597</v>
      </c>
      <c r="AM7" s="235"/>
      <c r="AN7" s="235"/>
      <c r="AO7" s="235" t="s">
        <v>340</v>
      </c>
      <c r="AP7" s="235"/>
      <c r="AQ7" s="235">
        <v>105970</v>
      </c>
      <c r="AR7" s="235"/>
      <c r="AS7" s="235"/>
      <c r="AT7" s="235"/>
      <c r="AU7" s="235"/>
      <c r="AV7" s="235"/>
      <c r="AW7" s="235">
        <v>24019.919999999998</v>
      </c>
      <c r="AX7" s="235"/>
      <c r="AY7" s="235">
        <v>360298.8</v>
      </c>
      <c r="AZ7" s="235">
        <v>60049800</v>
      </c>
      <c r="BA7" s="235"/>
      <c r="BB7" s="235">
        <v>0.28999999999999998</v>
      </c>
      <c r="BC7" s="235"/>
      <c r="BD7" s="235"/>
      <c r="BE7" s="241"/>
    </row>
    <row r="8" spans="1:57">
      <c r="A8" s="236" t="s">
        <v>562</v>
      </c>
      <c r="B8" s="235" t="s">
        <v>428</v>
      </c>
      <c r="C8" s="235">
        <v>1983</v>
      </c>
      <c r="D8" s="235"/>
      <c r="E8" s="235">
        <v>1983</v>
      </c>
      <c r="F8" s="235" t="s">
        <v>109</v>
      </c>
      <c r="G8" s="235" t="s">
        <v>212</v>
      </c>
      <c r="H8" s="235">
        <v>12.5</v>
      </c>
      <c r="I8" s="235">
        <v>1</v>
      </c>
      <c r="J8" s="235"/>
      <c r="K8" s="235"/>
      <c r="L8" s="235"/>
      <c r="M8" s="235"/>
      <c r="N8" s="235">
        <v>43.2</v>
      </c>
      <c r="O8" s="235"/>
      <c r="P8" s="235">
        <v>12</v>
      </c>
      <c r="Q8" s="235"/>
      <c r="R8" s="235"/>
      <c r="S8" s="235"/>
      <c r="T8" s="235"/>
      <c r="U8" s="235">
        <v>15</v>
      </c>
      <c r="V8" s="235"/>
      <c r="W8" s="235"/>
      <c r="X8" s="235">
        <v>5</v>
      </c>
      <c r="Y8" s="235"/>
      <c r="Z8" s="235">
        <v>0.72</v>
      </c>
      <c r="AA8" s="235"/>
      <c r="AB8" s="235"/>
      <c r="AC8" s="235">
        <v>3</v>
      </c>
      <c r="AD8" s="235" t="s">
        <v>338</v>
      </c>
      <c r="AE8" s="235"/>
      <c r="AF8" s="235">
        <v>0.45700000000000002</v>
      </c>
      <c r="AG8" s="235">
        <v>12.5</v>
      </c>
      <c r="AH8" s="235">
        <v>540448</v>
      </c>
      <c r="AI8" s="235"/>
      <c r="AJ8" s="235"/>
      <c r="AK8" s="235" t="s">
        <v>689</v>
      </c>
      <c r="AL8" s="235" t="s">
        <v>597</v>
      </c>
      <c r="AM8" s="235"/>
      <c r="AN8" s="235"/>
      <c r="AO8" s="235" t="s">
        <v>340</v>
      </c>
      <c r="AP8" s="235"/>
      <c r="AQ8" s="235">
        <v>150125</v>
      </c>
      <c r="AR8" s="235"/>
      <c r="AS8" s="235"/>
      <c r="AT8" s="235"/>
      <c r="AU8" s="235"/>
      <c r="AV8" s="235"/>
      <c r="AW8" s="235">
        <v>50041.5</v>
      </c>
      <c r="AX8" s="235"/>
      <c r="AY8" s="235">
        <v>750622.5</v>
      </c>
      <c r="AZ8" s="235">
        <v>60049800</v>
      </c>
      <c r="BA8" s="235"/>
      <c r="BB8" s="235">
        <v>0.2</v>
      </c>
      <c r="BC8" s="235"/>
      <c r="BD8" s="235"/>
      <c r="BE8" s="241"/>
    </row>
    <row r="9" spans="1:57">
      <c r="A9" s="236" t="s">
        <v>562</v>
      </c>
      <c r="B9" s="235" t="s">
        <v>428</v>
      </c>
      <c r="C9" s="235">
        <v>1983</v>
      </c>
      <c r="D9" s="235"/>
      <c r="E9" s="235"/>
      <c r="F9" s="235" t="s">
        <v>109</v>
      </c>
      <c r="G9" s="235" t="s">
        <v>212</v>
      </c>
      <c r="H9" s="235">
        <v>32.5</v>
      </c>
      <c r="I9" s="235">
        <v>1</v>
      </c>
      <c r="J9" s="235"/>
      <c r="K9" s="235"/>
      <c r="L9" s="235"/>
      <c r="M9" s="235"/>
      <c r="N9" s="235">
        <v>26</v>
      </c>
      <c r="O9" s="235"/>
      <c r="P9" s="235">
        <v>7.2</v>
      </c>
      <c r="Q9" s="235"/>
      <c r="R9" s="235"/>
      <c r="S9" s="235"/>
      <c r="T9" s="235"/>
      <c r="U9" s="235">
        <v>15</v>
      </c>
      <c r="V9" s="235"/>
      <c r="W9" s="235"/>
      <c r="X9" s="235">
        <v>8.3000000000000007</v>
      </c>
      <c r="Y9" s="235"/>
      <c r="Z9" s="235">
        <v>0.43</v>
      </c>
      <c r="AA9" s="235"/>
      <c r="AB9" s="235"/>
      <c r="AC9" s="235">
        <v>1.81</v>
      </c>
      <c r="AD9" s="235" t="s">
        <v>338</v>
      </c>
      <c r="AE9" s="235"/>
      <c r="AF9" s="235">
        <v>0.45700000000000002</v>
      </c>
      <c r="AG9" s="235">
        <v>32.5</v>
      </c>
      <c r="AH9" s="235">
        <v>846485</v>
      </c>
      <c r="AI9" s="235"/>
      <c r="AJ9" s="235"/>
      <c r="AK9" s="235" t="s">
        <v>689</v>
      </c>
      <c r="AL9" s="235" t="s">
        <v>597</v>
      </c>
      <c r="AM9" s="235"/>
      <c r="AN9" s="235"/>
      <c r="AO9" s="235" t="s">
        <v>340</v>
      </c>
      <c r="AP9" s="235"/>
      <c r="AQ9" s="235">
        <v>235135</v>
      </c>
      <c r="AR9" s="235"/>
      <c r="AS9" s="235"/>
      <c r="AT9" s="235"/>
      <c r="AU9" s="235"/>
      <c r="AV9" s="235"/>
      <c r="AW9" s="235">
        <v>130107.9</v>
      </c>
      <c r="AX9" s="235"/>
      <c r="AY9" s="235">
        <v>1951618.5</v>
      </c>
      <c r="AZ9" s="235">
        <v>60049800</v>
      </c>
      <c r="BA9" s="235"/>
      <c r="BB9" s="235">
        <v>0.12</v>
      </c>
      <c r="BC9" s="235"/>
      <c r="BD9" s="235"/>
      <c r="BE9" s="241"/>
    </row>
    <row r="10" spans="1:57">
      <c r="A10" s="236" t="s">
        <v>562</v>
      </c>
      <c r="B10" s="235" t="s">
        <v>428</v>
      </c>
      <c r="C10" s="235">
        <v>1983</v>
      </c>
      <c r="D10" s="235"/>
      <c r="E10" s="235">
        <v>1983</v>
      </c>
      <c r="F10" s="235" t="s">
        <v>109</v>
      </c>
      <c r="G10" s="235" t="s">
        <v>212</v>
      </c>
      <c r="H10" s="235">
        <v>3000</v>
      </c>
      <c r="I10" s="235">
        <v>1</v>
      </c>
      <c r="J10" s="235" t="s">
        <v>358</v>
      </c>
      <c r="K10" s="235"/>
      <c r="L10" s="235"/>
      <c r="M10" s="235">
        <v>100</v>
      </c>
      <c r="N10" s="235">
        <v>221.7</v>
      </c>
      <c r="O10" s="235"/>
      <c r="P10" s="235">
        <v>61.6</v>
      </c>
      <c r="Q10" s="235"/>
      <c r="R10" s="235"/>
      <c r="S10" s="235"/>
      <c r="T10" s="235"/>
      <c r="U10" s="235">
        <v>20</v>
      </c>
      <c r="V10" s="235"/>
      <c r="W10" s="235"/>
      <c r="X10" s="235">
        <v>1.3</v>
      </c>
      <c r="Y10" s="235"/>
      <c r="Z10" s="235">
        <v>2.77</v>
      </c>
      <c r="AA10" s="235"/>
      <c r="AB10" s="235"/>
      <c r="AC10" s="235">
        <v>15.38</v>
      </c>
      <c r="AD10" s="235" t="s">
        <v>338</v>
      </c>
      <c r="AE10" s="235">
        <v>100</v>
      </c>
      <c r="AF10" s="235">
        <v>0.45700000000000002</v>
      </c>
      <c r="AG10" s="235">
        <v>3000</v>
      </c>
      <c r="AH10" s="235">
        <v>665167015</v>
      </c>
      <c r="AI10" s="235"/>
      <c r="AJ10" s="235"/>
      <c r="AK10" s="235" t="s">
        <v>689</v>
      </c>
      <c r="AL10" s="235" t="s">
        <v>597</v>
      </c>
      <c r="AM10" s="235"/>
      <c r="AN10" s="235"/>
      <c r="AO10" s="235" t="s">
        <v>340</v>
      </c>
      <c r="AP10" s="235"/>
      <c r="AQ10" s="235">
        <v>184768615</v>
      </c>
      <c r="AR10" s="235"/>
      <c r="AS10" s="235"/>
      <c r="AT10" s="235"/>
      <c r="AU10" s="235"/>
      <c r="AV10" s="235"/>
      <c r="AW10" s="235">
        <v>12009960</v>
      </c>
      <c r="AX10" s="235"/>
      <c r="AY10" s="235">
        <v>240199200</v>
      </c>
      <c r="AZ10" s="235">
        <v>80066400</v>
      </c>
      <c r="BA10" s="235"/>
      <c r="BB10" s="235">
        <v>0.77</v>
      </c>
      <c r="BC10" s="235"/>
      <c r="BD10" s="235"/>
      <c r="BE10" s="241"/>
    </row>
    <row r="11" spans="1:57">
      <c r="A11" s="236" t="s">
        <v>562</v>
      </c>
      <c r="B11" s="235" t="s">
        <v>428</v>
      </c>
      <c r="C11" s="235">
        <v>1990</v>
      </c>
      <c r="D11" s="235"/>
      <c r="E11" s="235">
        <v>1990</v>
      </c>
      <c r="F11" s="235" t="s">
        <v>27</v>
      </c>
      <c r="G11" s="235" t="s">
        <v>205</v>
      </c>
      <c r="H11" s="235">
        <v>95</v>
      </c>
      <c r="I11" s="235">
        <v>1</v>
      </c>
      <c r="J11" s="235" t="s">
        <v>350</v>
      </c>
      <c r="K11" s="235"/>
      <c r="L11" s="235" t="s">
        <v>24</v>
      </c>
      <c r="M11" s="235">
        <v>22</v>
      </c>
      <c r="N11" s="235">
        <v>2.2000000000000002</v>
      </c>
      <c r="O11" s="235"/>
      <c r="P11" s="235">
        <v>0.6</v>
      </c>
      <c r="Q11" s="235"/>
      <c r="R11" s="235"/>
      <c r="S11" s="235"/>
      <c r="T11" s="235"/>
      <c r="U11" s="235">
        <v>20</v>
      </c>
      <c r="V11" s="235"/>
      <c r="W11" s="235"/>
      <c r="X11" s="235">
        <v>71.400000000000006</v>
      </c>
      <c r="Y11" s="235"/>
      <c r="Z11" s="235">
        <v>0.05</v>
      </c>
      <c r="AA11" s="235"/>
      <c r="AB11" s="235"/>
      <c r="AC11" s="235">
        <v>0.28000000000000003</v>
      </c>
      <c r="AD11" s="235" t="s">
        <v>36</v>
      </c>
      <c r="AE11" s="235">
        <v>19</v>
      </c>
      <c r="AF11" s="235">
        <v>0.252</v>
      </c>
      <c r="AG11" s="235">
        <v>95</v>
      </c>
      <c r="AH11" s="235">
        <v>211477</v>
      </c>
      <c r="AI11" s="235"/>
      <c r="AJ11" s="235"/>
      <c r="AK11" s="235" t="s">
        <v>689</v>
      </c>
      <c r="AL11" s="235" t="s">
        <v>597</v>
      </c>
      <c r="AM11" s="235">
        <v>2.236005</v>
      </c>
      <c r="AN11" s="235"/>
      <c r="AO11" s="235" t="s">
        <v>340</v>
      </c>
      <c r="AP11" s="235"/>
      <c r="AQ11" s="235">
        <v>58744</v>
      </c>
      <c r="AR11" s="235"/>
      <c r="AS11" s="235"/>
      <c r="AT11" s="235"/>
      <c r="AU11" s="235"/>
      <c r="AV11" s="235"/>
      <c r="AW11" s="235">
        <v>209714.4</v>
      </c>
      <c r="AX11" s="235"/>
      <c r="AY11" s="235">
        <v>4194288</v>
      </c>
      <c r="AZ11" s="235">
        <v>44150400</v>
      </c>
      <c r="BA11" s="235"/>
      <c r="BB11" s="235">
        <v>0.01</v>
      </c>
      <c r="BC11" s="235"/>
      <c r="BD11" s="235"/>
      <c r="BE11" s="241"/>
    </row>
    <row r="12" spans="1:57">
      <c r="A12" s="236" t="s">
        <v>562</v>
      </c>
      <c r="B12" s="235" t="s">
        <v>428</v>
      </c>
      <c r="C12" s="235">
        <v>1990</v>
      </c>
      <c r="D12" s="235"/>
      <c r="E12" s="235">
        <v>1990</v>
      </c>
      <c r="F12" s="235" t="s">
        <v>27</v>
      </c>
      <c r="G12" s="235" t="s">
        <v>205</v>
      </c>
      <c r="H12" s="235">
        <v>150</v>
      </c>
      <c r="I12" s="235">
        <v>1</v>
      </c>
      <c r="J12" s="235"/>
      <c r="K12" s="235"/>
      <c r="L12" s="235"/>
      <c r="M12" s="235"/>
      <c r="N12" s="235">
        <v>5</v>
      </c>
      <c r="O12" s="235"/>
      <c r="P12" s="235">
        <v>1.4</v>
      </c>
      <c r="Q12" s="235">
        <v>87112</v>
      </c>
      <c r="R12" s="235"/>
      <c r="S12" s="235">
        <v>0.57999999999999996</v>
      </c>
      <c r="T12" s="235"/>
      <c r="U12" s="235">
        <v>25</v>
      </c>
      <c r="V12" s="235"/>
      <c r="W12" s="235"/>
      <c r="X12" s="235">
        <v>47.6</v>
      </c>
      <c r="Y12" s="235"/>
      <c r="Z12" s="235">
        <v>0.08</v>
      </c>
      <c r="AA12" s="235"/>
      <c r="AB12" s="235"/>
      <c r="AC12" s="235">
        <v>0.53</v>
      </c>
      <c r="AD12" s="235" t="s">
        <v>36</v>
      </c>
      <c r="AE12" s="235"/>
      <c r="AF12" s="235">
        <v>0.30099999999999999</v>
      </c>
      <c r="AG12" s="235">
        <v>150</v>
      </c>
      <c r="AH12" s="235">
        <v>747821</v>
      </c>
      <c r="AI12" s="235"/>
      <c r="AJ12" s="235"/>
      <c r="AK12" s="235" t="s">
        <v>689</v>
      </c>
      <c r="AL12" s="235" t="s">
        <v>597</v>
      </c>
      <c r="AM12" s="235">
        <v>2.236005</v>
      </c>
      <c r="AN12" s="235"/>
      <c r="AO12" s="235" t="s">
        <v>340</v>
      </c>
      <c r="AP12" s="235"/>
      <c r="AQ12" s="235">
        <v>207728</v>
      </c>
      <c r="AR12" s="235"/>
      <c r="AS12" s="235"/>
      <c r="AT12" s="235"/>
      <c r="AU12" s="235"/>
      <c r="AV12" s="235"/>
      <c r="AW12" s="235">
        <v>395514</v>
      </c>
      <c r="AX12" s="235"/>
      <c r="AY12" s="235">
        <v>9887850</v>
      </c>
      <c r="AZ12" s="235">
        <v>65919000</v>
      </c>
      <c r="BA12" s="235"/>
      <c r="BB12" s="235">
        <v>0.02</v>
      </c>
      <c r="BC12" s="235"/>
      <c r="BD12" s="235">
        <v>8.81</v>
      </c>
      <c r="BE12" s="241"/>
    </row>
    <row r="13" spans="1:57">
      <c r="A13" s="236" t="s">
        <v>562</v>
      </c>
      <c r="B13" s="235" t="s">
        <v>428</v>
      </c>
      <c r="C13" s="235">
        <v>1990</v>
      </c>
      <c r="D13" s="235"/>
      <c r="E13" s="235">
        <v>1990</v>
      </c>
      <c r="F13" s="235" t="s">
        <v>27</v>
      </c>
      <c r="G13" s="235" t="s">
        <v>212</v>
      </c>
      <c r="H13" s="235">
        <v>300</v>
      </c>
      <c r="I13" s="235">
        <v>1</v>
      </c>
      <c r="J13" s="235" t="s">
        <v>350</v>
      </c>
      <c r="K13" s="235"/>
      <c r="L13" s="235"/>
      <c r="M13" s="235">
        <v>34</v>
      </c>
      <c r="N13" s="235">
        <v>5.6</v>
      </c>
      <c r="O13" s="235"/>
      <c r="P13" s="235">
        <v>1.6</v>
      </c>
      <c r="Q13" s="235"/>
      <c r="R13" s="235"/>
      <c r="S13" s="235"/>
      <c r="T13" s="235"/>
      <c r="U13" s="235">
        <v>20</v>
      </c>
      <c r="V13" s="235"/>
      <c r="W13" s="235"/>
      <c r="X13" s="235">
        <v>32.299999999999997</v>
      </c>
      <c r="Y13" s="235"/>
      <c r="Z13" s="235">
        <v>0.11</v>
      </c>
      <c r="AA13" s="235"/>
      <c r="AB13" s="235"/>
      <c r="AC13" s="235">
        <v>0.62</v>
      </c>
      <c r="AD13" s="235" t="s">
        <v>343</v>
      </c>
      <c r="AE13" s="235">
        <v>32</v>
      </c>
      <c r="AF13" s="235">
        <v>0.28899999999999998</v>
      </c>
      <c r="AG13" s="235">
        <v>300</v>
      </c>
      <c r="AH13" s="235">
        <v>1692985</v>
      </c>
      <c r="AI13" s="235"/>
      <c r="AJ13" s="235"/>
      <c r="AK13" s="235" t="s">
        <v>689</v>
      </c>
      <c r="AL13" s="235" t="s">
        <v>597</v>
      </c>
      <c r="AM13" s="235">
        <v>2.236005</v>
      </c>
      <c r="AN13" s="235"/>
      <c r="AO13" s="235" t="s">
        <v>340</v>
      </c>
      <c r="AP13" s="235"/>
      <c r="AQ13" s="235">
        <v>470274</v>
      </c>
      <c r="AR13" s="235"/>
      <c r="AS13" s="235"/>
      <c r="AT13" s="235"/>
      <c r="AU13" s="235"/>
      <c r="AV13" s="235"/>
      <c r="AW13" s="235">
        <v>759492</v>
      </c>
      <c r="AX13" s="235"/>
      <c r="AY13" s="235">
        <v>15189840</v>
      </c>
      <c r="AZ13" s="235">
        <v>50632800</v>
      </c>
      <c r="BA13" s="235"/>
      <c r="BB13" s="235">
        <v>0.03</v>
      </c>
      <c r="BC13" s="235"/>
      <c r="BD13" s="235"/>
      <c r="BE13" s="241"/>
    </row>
    <row r="14" spans="1:57">
      <c r="A14" s="236" t="s">
        <v>562</v>
      </c>
      <c r="B14" s="235" t="s">
        <v>428</v>
      </c>
      <c r="C14" s="235">
        <v>1991</v>
      </c>
      <c r="D14" s="235"/>
      <c r="E14" s="235">
        <v>1991</v>
      </c>
      <c r="F14" s="235" t="s">
        <v>109</v>
      </c>
      <c r="G14" s="235" t="s">
        <v>160</v>
      </c>
      <c r="H14" s="235">
        <v>100</v>
      </c>
      <c r="I14" s="235">
        <v>1</v>
      </c>
      <c r="J14" s="235"/>
      <c r="K14" s="235"/>
      <c r="L14" s="235"/>
      <c r="M14" s="235"/>
      <c r="N14" s="235">
        <v>49.7</v>
      </c>
      <c r="O14" s="235"/>
      <c r="P14" s="235">
        <v>13.8</v>
      </c>
      <c r="Q14" s="235">
        <v>395698</v>
      </c>
      <c r="R14" s="235"/>
      <c r="S14" s="235">
        <v>3.96</v>
      </c>
      <c r="T14" s="235"/>
      <c r="U14" s="235">
        <v>20</v>
      </c>
      <c r="V14" s="235"/>
      <c r="W14" s="235"/>
      <c r="X14" s="235">
        <v>4</v>
      </c>
      <c r="Y14" s="235"/>
      <c r="Z14" s="235">
        <v>0.9</v>
      </c>
      <c r="AA14" s="235"/>
      <c r="AB14" s="235"/>
      <c r="AC14" s="235">
        <v>5</v>
      </c>
      <c r="AD14" s="235" t="s">
        <v>343</v>
      </c>
      <c r="AE14" s="235"/>
      <c r="AF14" s="235">
        <v>0.315</v>
      </c>
      <c r="AG14" s="235">
        <v>100</v>
      </c>
      <c r="AH14" s="235">
        <v>4966920</v>
      </c>
      <c r="AI14" s="235"/>
      <c r="AJ14" s="235"/>
      <c r="AK14" s="235" t="s">
        <v>689</v>
      </c>
      <c r="AL14" s="235" t="s">
        <v>597</v>
      </c>
      <c r="AM14" s="235">
        <v>2.5305049999999998</v>
      </c>
      <c r="AN14" s="235"/>
      <c r="AO14" s="235" t="s">
        <v>340</v>
      </c>
      <c r="AP14" s="235"/>
      <c r="AQ14" s="235">
        <v>1379700</v>
      </c>
      <c r="AR14" s="235"/>
      <c r="AS14" s="235"/>
      <c r="AT14" s="235"/>
      <c r="AU14" s="235"/>
      <c r="AV14" s="235"/>
      <c r="AW14" s="235">
        <v>275940</v>
      </c>
      <c r="AX14" s="235"/>
      <c r="AY14" s="235">
        <v>5518800</v>
      </c>
      <c r="AZ14" s="235">
        <v>55188000</v>
      </c>
      <c r="BA14" s="235"/>
      <c r="BB14" s="235">
        <v>0.25</v>
      </c>
      <c r="BC14" s="235"/>
      <c r="BD14" s="235">
        <v>71.7</v>
      </c>
      <c r="BE14" s="241"/>
    </row>
    <row r="15" spans="1:57">
      <c r="A15" s="236" t="s">
        <v>562</v>
      </c>
      <c r="B15" s="235" t="s">
        <v>428</v>
      </c>
      <c r="C15" s="235">
        <v>1991</v>
      </c>
      <c r="D15" s="235"/>
      <c r="E15" s="235">
        <v>1991</v>
      </c>
      <c r="F15" s="235" t="s">
        <v>27</v>
      </c>
      <c r="G15" s="235" t="s">
        <v>212</v>
      </c>
      <c r="H15" s="235">
        <v>30</v>
      </c>
      <c r="I15" s="235">
        <v>1</v>
      </c>
      <c r="J15" s="235" t="s">
        <v>358</v>
      </c>
      <c r="K15" s="235"/>
      <c r="L15" s="235"/>
      <c r="M15" s="235">
        <v>14</v>
      </c>
      <c r="N15" s="235">
        <v>7.7</v>
      </c>
      <c r="O15" s="235"/>
      <c r="P15" s="235">
        <v>2.1</v>
      </c>
      <c r="Q15" s="235"/>
      <c r="R15" s="235"/>
      <c r="S15" s="235"/>
      <c r="T15" s="235"/>
      <c r="U15" s="235">
        <v>20</v>
      </c>
      <c r="V15" s="235"/>
      <c r="W15" s="235"/>
      <c r="X15" s="235">
        <v>11.8</v>
      </c>
      <c r="Y15" s="235"/>
      <c r="Z15" s="235">
        <v>0.31</v>
      </c>
      <c r="AA15" s="235"/>
      <c r="AB15" s="235"/>
      <c r="AC15" s="235">
        <v>1.69</v>
      </c>
      <c r="AD15" s="235" t="s">
        <v>349</v>
      </c>
      <c r="AE15" s="235">
        <v>12.5</v>
      </c>
      <c r="AF15" s="235">
        <v>0.14399999999999999</v>
      </c>
      <c r="AG15" s="235">
        <v>30</v>
      </c>
      <c r="AH15" s="235">
        <v>230908</v>
      </c>
      <c r="AI15" s="235"/>
      <c r="AJ15" s="235"/>
      <c r="AK15" s="235" t="s">
        <v>689</v>
      </c>
      <c r="AL15" s="235" t="s">
        <v>597</v>
      </c>
      <c r="AM15" s="235">
        <v>2.5305049999999998</v>
      </c>
      <c r="AN15" s="235"/>
      <c r="AO15" s="235" t="s">
        <v>340</v>
      </c>
      <c r="AP15" s="235"/>
      <c r="AQ15" s="235">
        <v>64141</v>
      </c>
      <c r="AR15" s="235"/>
      <c r="AS15" s="235"/>
      <c r="AT15" s="235"/>
      <c r="AU15" s="235"/>
      <c r="AV15" s="235"/>
      <c r="AW15" s="235">
        <v>37843.199999999997</v>
      </c>
      <c r="AX15" s="235"/>
      <c r="AY15" s="235">
        <v>756864</v>
      </c>
      <c r="AZ15" s="235">
        <v>25228800</v>
      </c>
      <c r="BA15" s="235"/>
      <c r="BB15" s="235">
        <v>0.08</v>
      </c>
      <c r="BC15" s="235"/>
      <c r="BD15" s="235"/>
      <c r="BE15" s="241"/>
    </row>
    <row r="16" spans="1:57">
      <c r="A16" s="236" t="s">
        <v>562</v>
      </c>
      <c r="B16" s="235" t="s">
        <v>428</v>
      </c>
      <c r="C16" s="235">
        <v>1991</v>
      </c>
      <c r="D16" s="235"/>
      <c r="E16" s="235">
        <v>1991</v>
      </c>
      <c r="F16" s="235" t="s">
        <v>27</v>
      </c>
      <c r="G16" s="235" t="s">
        <v>212</v>
      </c>
      <c r="H16" s="235">
        <v>33</v>
      </c>
      <c r="I16" s="235">
        <v>1</v>
      </c>
      <c r="J16" s="235" t="s">
        <v>358</v>
      </c>
      <c r="K16" s="235"/>
      <c r="L16" s="235"/>
      <c r="M16" s="235">
        <v>22</v>
      </c>
      <c r="N16" s="235">
        <v>9.1</v>
      </c>
      <c r="O16" s="235"/>
      <c r="P16" s="235">
        <v>2.5</v>
      </c>
      <c r="Q16" s="235"/>
      <c r="R16" s="235"/>
      <c r="S16" s="235"/>
      <c r="T16" s="235"/>
      <c r="U16" s="235">
        <v>20</v>
      </c>
      <c r="V16" s="235"/>
      <c r="W16" s="235"/>
      <c r="X16" s="235">
        <v>20.399999999999999</v>
      </c>
      <c r="Y16" s="235"/>
      <c r="Z16" s="235">
        <v>0.18</v>
      </c>
      <c r="AA16" s="235"/>
      <c r="AB16" s="235"/>
      <c r="AC16" s="235">
        <v>0.98</v>
      </c>
      <c r="AD16" s="235" t="s">
        <v>36</v>
      </c>
      <c r="AE16" s="235">
        <v>14.8</v>
      </c>
      <c r="AF16" s="235">
        <v>0.29399999999999998</v>
      </c>
      <c r="AG16" s="235">
        <v>33</v>
      </c>
      <c r="AH16" s="235">
        <v>299963</v>
      </c>
      <c r="AI16" s="235"/>
      <c r="AJ16" s="235"/>
      <c r="AK16" s="235" t="s">
        <v>689</v>
      </c>
      <c r="AL16" s="235" t="s">
        <v>597</v>
      </c>
      <c r="AM16" s="235">
        <v>2.5305049999999998</v>
      </c>
      <c r="AN16" s="235"/>
      <c r="AO16" s="235" t="s">
        <v>340</v>
      </c>
      <c r="AP16" s="235"/>
      <c r="AQ16" s="235">
        <v>83323</v>
      </c>
      <c r="AR16" s="235"/>
      <c r="AS16" s="235"/>
      <c r="AT16" s="235"/>
      <c r="AU16" s="235"/>
      <c r="AV16" s="235"/>
      <c r="AW16" s="235">
        <v>84989.52</v>
      </c>
      <c r="AX16" s="235"/>
      <c r="AY16" s="235">
        <v>1699790.4</v>
      </c>
      <c r="AZ16" s="235">
        <v>51508800</v>
      </c>
      <c r="BA16" s="235"/>
      <c r="BB16" s="235">
        <v>0.05</v>
      </c>
      <c r="BC16" s="235"/>
      <c r="BD16" s="235"/>
      <c r="BE16" s="241"/>
    </row>
    <row r="17" spans="1:57">
      <c r="A17" s="236" t="s">
        <v>562</v>
      </c>
      <c r="B17" s="235" t="s">
        <v>428</v>
      </c>
      <c r="C17" s="235">
        <v>1991</v>
      </c>
      <c r="D17" s="235"/>
      <c r="E17" s="235">
        <v>1991</v>
      </c>
      <c r="F17" s="235" t="s">
        <v>27</v>
      </c>
      <c r="G17" s="235" t="s">
        <v>212</v>
      </c>
      <c r="H17" s="235">
        <v>45</v>
      </c>
      <c r="I17" s="235">
        <v>1</v>
      </c>
      <c r="J17" s="235"/>
      <c r="K17" s="235"/>
      <c r="L17" s="235"/>
      <c r="M17" s="235"/>
      <c r="N17" s="235">
        <v>11.2</v>
      </c>
      <c r="O17" s="235"/>
      <c r="P17" s="235">
        <v>3.1</v>
      </c>
      <c r="Q17" s="235"/>
      <c r="R17" s="235"/>
      <c r="S17" s="235"/>
      <c r="T17" s="235"/>
      <c r="U17" s="235">
        <v>20</v>
      </c>
      <c r="V17" s="235"/>
      <c r="W17" s="235"/>
      <c r="X17" s="235">
        <v>18.899999999999999</v>
      </c>
      <c r="Y17" s="235"/>
      <c r="Z17" s="235">
        <v>0.19</v>
      </c>
      <c r="AA17" s="235"/>
      <c r="AB17" s="235"/>
      <c r="AC17" s="235">
        <v>1.06</v>
      </c>
      <c r="AD17" s="235" t="s">
        <v>36</v>
      </c>
      <c r="AE17" s="235">
        <v>12.5</v>
      </c>
      <c r="AF17" s="235">
        <v>0.33500000000000002</v>
      </c>
      <c r="AG17" s="235">
        <v>45</v>
      </c>
      <c r="AH17" s="235">
        <v>503074</v>
      </c>
      <c r="AI17" s="235"/>
      <c r="AJ17" s="235"/>
      <c r="AK17" s="235" t="s">
        <v>689</v>
      </c>
      <c r="AL17" s="235" t="s">
        <v>597</v>
      </c>
      <c r="AM17" s="235">
        <v>2.5305049999999998</v>
      </c>
      <c r="AN17" s="235"/>
      <c r="AO17" s="235" t="s">
        <v>340</v>
      </c>
      <c r="AP17" s="235"/>
      <c r="AQ17" s="235">
        <v>139743</v>
      </c>
      <c r="AR17" s="235"/>
      <c r="AS17" s="235"/>
      <c r="AT17" s="235"/>
      <c r="AU17" s="235"/>
      <c r="AV17" s="235"/>
      <c r="AW17" s="235">
        <v>132057</v>
      </c>
      <c r="AX17" s="235"/>
      <c r="AY17" s="235">
        <v>2641140</v>
      </c>
      <c r="AZ17" s="235">
        <v>58692000</v>
      </c>
      <c r="BA17" s="235"/>
      <c r="BB17" s="235">
        <v>0.05</v>
      </c>
      <c r="BC17" s="235"/>
      <c r="BD17" s="235"/>
      <c r="BE17" s="241"/>
    </row>
    <row r="18" spans="1:57">
      <c r="A18" s="236" t="s">
        <v>562</v>
      </c>
      <c r="B18" s="235" t="s">
        <v>428</v>
      </c>
      <c r="C18" s="235">
        <v>1991</v>
      </c>
      <c r="D18" s="235"/>
      <c r="E18" s="235">
        <v>1991</v>
      </c>
      <c r="F18" s="235" t="s">
        <v>27</v>
      </c>
      <c r="G18" s="235" t="s">
        <v>212</v>
      </c>
      <c r="H18" s="235">
        <v>95</v>
      </c>
      <c r="I18" s="235">
        <v>1</v>
      </c>
      <c r="J18" s="235" t="s">
        <v>350</v>
      </c>
      <c r="K18" s="235"/>
      <c r="L18" s="235" t="s">
        <v>24</v>
      </c>
      <c r="M18" s="235">
        <v>22</v>
      </c>
      <c r="N18" s="235">
        <v>8.8000000000000007</v>
      </c>
      <c r="O18" s="235"/>
      <c r="P18" s="235">
        <v>2.4</v>
      </c>
      <c r="Q18" s="235"/>
      <c r="R18" s="235"/>
      <c r="S18" s="235"/>
      <c r="T18" s="235"/>
      <c r="U18" s="235">
        <v>20</v>
      </c>
      <c r="V18" s="235"/>
      <c r="W18" s="235"/>
      <c r="X18" s="235">
        <v>14.7</v>
      </c>
      <c r="Y18" s="235"/>
      <c r="Z18" s="235">
        <v>0.24</v>
      </c>
      <c r="AA18" s="235"/>
      <c r="AB18" s="235"/>
      <c r="AC18" s="235">
        <v>1.36</v>
      </c>
      <c r="AD18" s="235" t="s">
        <v>366</v>
      </c>
      <c r="AE18" s="235">
        <v>19</v>
      </c>
      <c r="AF18" s="235">
        <v>0.20499999999999999</v>
      </c>
      <c r="AG18" s="235">
        <v>95</v>
      </c>
      <c r="AH18" s="235">
        <v>835597</v>
      </c>
      <c r="AI18" s="235"/>
      <c r="AJ18" s="235"/>
      <c r="AK18" s="235" t="s">
        <v>689</v>
      </c>
      <c r="AL18" s="235" t="s">
        <v>597</v>
      </c>
      <c r="AM18" s="235">
        <v>2.5305049999999998</v>
      </c>
      <c r="AN18" s="235"/>
      <c r="AO18" s="235" t="s">
        <v>340</v>
      </c>
      <c r="AP18" s="235"/>
      <c r="AQ18" s="235">
        <v>232110</v>
      </c>
      <c r="AR18" s="235"/>
      <c r="AS18" s="235"/>
      <c r="AT18" s="235"/>
      <c r="AU18" s="235"/>
      <c r="AV18" s="235"/>
      <c r="AW18" s="235">
        <v>170601</v>
      </c>
      <c r="AX18" s="235"/>
      <c r="AY18" s="235">
        <v>3412020</v>
      </c>
      <c r="AZ18" s="235">
        <v>35916000</v>
      </c>
      <c r="BA18" s="235"/>
      <c r="BB18" s="235">
        <v>7.0000000000000007E-2</v>
      </c>
      <c r="BC18" s="235"/>
      <c r="BD18" s="235"/>
      <c r="BE18" s="241"/>
    </row>
    <row r="19" spans="1:57">
      <c r="A19" s="236" t="s">
        <v>562</v>
      </c>
      <c r="B19" s="235" t="s">
        <v>428</v>
      </c>
      <c r="C19" s="235">
        <v>1991</v>
      </c>
      <c r="D19" s="235"/>
      <c r="E19" s="235">
        <v>1991</v>
      </c>
      <c r="F19" s="235" t="s">
        <v>27</v>
      </c>
      <c r="G19" s="235" t="s">
        <v>212</v>
      </c>
      <c r="H19" s="235">
        <v>95</v>
      </c>
      <c r="I19" s="235">
        <v>1</v>
      </c>
      <c r="J19" s="235" t="s">
        <v>350</v>
      </c>
      <c r="K19" s="235"/>
      <c r="L19" s="235"/>
      <c r="M19" s="235">
        <v>22</v>
      </c>
      <c r="N19" s="235">
        <v>6.6</v>
      </c>
      <c r="O19" s="235"/>
      <c r="P19" s="235">
        <v>1.8</v>
      </c>
      <c r="Q19" s="235"/>
      <c r="R19" s="235"/>
      <c r="S19" s="235"/>
      <c r="T19" s="235"/>
      <c r="U19" s="235">
        <v>20</v>
      </c>
      <c r="V19" s="235"/>
      <c r="W19" s="235"/>
      <c r="X19" s="235">
        <v>19.600000000000001</v>
      </c>
      <c r="Y19" s="235"/>
      <c r="Z19" s="235">
        <v>0.18</v>
      </c>
      <c r="AA19" s="235"/>
      <c r="AB19" s="235"/>
      <c r="AC19" s="235">
        <v>1.02</v>
      </c>
      <c r="AD19" s="235" t="s">
        <v>36</v>
      </c>
      <c r="AE19" s="235">
        <v>19</v>
      </c>
      <c r="AF19" s="235">
        <v>0.20499999999999999</v>
      </c>
      <c r="AG19" s="235">
        <v>95</v>
      </c>
      <c r="AH19" s="235">
        <v>626698</v>
      </c>
      <c r="AI19" s="235"/>
      <c r="AJ19" s="235"/>
      <c r="AK19" s="235" t="s">
        <v>689</v>
      </c>
      <c r="AL19" s="235" t="s">
        <v>597</v>
      </c>
      <c r="AM19" s="235">
        <v>2.5305049999999998</v>
      </c>
      <c r="AN19" s="235"/>
      <c r="AO19" s="235" t="s">
        <v>340</v>
      </c>
      <c r="AP19" s="235"/>
      <c r="AQ19" s="235">
        <v>174083</v>
      </c>
      <c r="AR19" s="235"/>
      <c r="AS19" s="235"/>
      <c r="AT19" s="235"/>
      <c r="AU19" s="235"/>
      <c r="AV19" s="235"/>
      <c r="AW19" s="235">
        <v>170601</v>
      </c>
      <c r="AX19" s="235"/>
      <c r="AY19" s="235">
        <v>3412020</v>
      </c>
      <c r="AZ19" s="235">
        <v>35916000</v>
      </c>
      <c r="BA19" s="235"/>
      <c r="BB19" s="235">
        <v>0.05</v>
      </c>
      <c r="BC19" s="235"/>
      <c r="BD19" s="235"/>
      <c r="BE19" s="241"/>
    </row>
    <row r="20" spans="1:57">
      <c r="A20" s="236" t="s">
        <v>562</v>
      </c>
      <c r="B20" s="235" t="s">
        <v>428</v>
      </c>
      <c r="C20" s="235">
        <v>1991</v>
      </c>
      <c r="D20" s="235"/>
      <c r="E20" s="235">
        <v>1991</v>
      </c>
      <c r="F20" s="235" t="s">
        <v>27</v>
      </c>
      <c r="G20" s="235" t="s">
        <v>212</v>
      </c>
      <c r="H20" s="235">
        <v>100</v>
      </c>
      <c r="I20" s="235">
        <v>1</v>
      </c>
      <c r="J20" s="235" t="s">
        <v>358</v>
      </c>
      <c r="K20" s="235"/>
      <c r="L20" s="235"/>
      <c r="M20" s="235">
        <v>24</v>
      </c>
      <c r="N20" s="235">
        <v>7.9</v>
      </c>
      <c r="O20" s="235"/>
      <c r="P20" s="235">
        <v>2.2000000000000002</v>
      </c>
      <c r="Q20" s="235"/>
      <c r="R20" s="235"/>
      <c r="S20" s="235"/>
      <c r="T20" s="235"/>
      <c r="U20" s="235">
        <v>20</v>
      </c>
      <c r="V20" s="235"/>
      <c r="W20" s="235"/>
      <c r="X20" s="235">
        <v>16.7</v>
      </c>
      <c r="Y20" s="235"/>
      <c r="Z20" s="235">
        <v>0.22</v>
      </c>
      <c r="AA20" s="235"/>
      <c r="AB20" s="235"/>
      <c r="AC20" s="235">
        <v>1.2</v>
      </c>
      <c r="AD20" s="235" t="s">
        <v>36</v>
      </c>
      <c r="AE20" s="235">
        <v>34</v>
      </c>
      <c r="AF20" s="235">
        <v>0.20899999999999999</v>
      </c>
      <c r="AG20" s="235">
        <v>100</v>
      </c>
      <c r="AH20" s="235">
        <v>789344</v>
      </c>
      <c r="AI20" s="235"/>
      <c r="AJ20" s="235"/>
      <c r="AK20" s="235" t="s">
        <v>689</v>
      </c>
      <c r="AL20" s="235" t="s">
        <v>597</v>
      </c>
      <c r="AM20" s="235">
        <v>2.5305049999999998</v>
      </c>
      <c r="AN20" s="235"/>
      <c r="AO20" s="235" t="s">
        <v>340</v>
      </c>
      <c r="AP20" s="235"/>
      <c r="AQ20" s="235">
        <v>219262</v>
      </c>
      <c r="AR20" s="235"/>
      <c r="AS20" s="235"/>
      <c r="AT20" s="235"/>
      <c r="AU20" s="235"/>
      <c r="AV20" s="235"/>
      <c r="AW20" s="235">
        <v>183084</v>
      </c>
      <c r="AX20" s="235"/>
      <c r="AY20" s="235">
        <v>3661680</v>
      </c>
      <c r="AZ20" s="235">
        <v>36616800</v>
      </c>
      <c r="BA20" s="235"/>
      <c r="BB20" s="235">
        <v>0.06</v>
      </c>
      <c r="BC20" s="235"/>
      <c r="BD20" s="235"/>
      <c r="BE20" s="241"/>
    </row>
    <row r="21" spans="1:57">
      <c r="A21" s="236" t="s">
        <v>562</v>
      </c>
      <c r="B21" s="235" t="s">
        <v>428</v>
      </c>
      <c r="C21" s="235">
        <v>1991</v>
      </c>
      <c r="D21" s="235"/>
      <c r="E21" s="235">
        <v>1991</v>
      </c>
      <c r="F21" s="235" t="s">
        <v>27</v>
      </c>
      <c r="G21" s="235" t="s">
        <v>212</v>
      </c>
      <c r="H21" s="235">
        <v>150</v>
      </c>
      <c r="I21" s="235">
        <v>1</v>
      </c>
      <c r="J21" s="235" t="s">
        <v>350</v>
      </c>
      <c r="K21" s="235"/>
      <c r="L21" s="235"/>
      <c r="M21" s="235">
        <v>30</v>
      </c>
      <c r="N21" s="235">
        <v>7.9</v>
      </c>
      <c r="O21" s="235"/>
      <c r="P21" s="235">
        <v>2.2000000000000002</v>
      </c>
      <c r="Q21" s="235"/>
      <c r="R21" s="235"/>
      <c r="S21" s="235"/>
      <c r="T21" s="235"/>
      <c r="U21" s="235">
        <v>20</v>
      </c>
      <c r="V21" s="235"/>
      <c r="W21" s="235"/>
      <c r="X21" s="235">
        <v>20.399999999999999</v>
      </c>
      <c r="Y21" s="235"/>
      <c r="Z21" s="235">
        <v>0.18</v>
      </c>
      <c r="AA21" s="235"/>
      <c r="AB21" s="235"/>
      <c r="AC21" s="235">
        <v>0.98</v>
      </c>
      <c r="AD21" s="235" t="s">
        <v>36</v>
      </c>
      <c r="AE21" s="235">
        <v>23</v>
      </c>
      <c r="AF21" s="235">
        <v>0.25600000000000001</v>
      </c>
      <c r="AG21" s="235">
        <v>150</v>
      </c>
      <c r="AH21" s="235">
        <v>1187238</v>
      </c>
      <c r="AI21" s="235"/>
      <c r="AJ21" s="235"/>
      <c r="AK21" s="235" t="s">
        <v>689</v>
      </c>
      <c r="AL21" s="235" t="s">
        <v>597</v>
      </c>
      <c r="AM21" s="235">
        <v>2.5305049999999998</v>
      </c>
      <c r="AN21" s="235"/>
      <c r="AO21" s="235" t="s">
        <v>340</v>
      </c>
      <c r="AP21" s="235"/>
      <c r="AQ21" s="235">
        <v>329788</v>
      </c>
      <c r="AR21" s="235"/>
      <c r="AS21" s="235"/>
      <c r="AT21" s="235"/>
      <c r="AU21" s="235"/>
      <c r="AV21" s="235"/>
      <c r="AW21" s="235">
        <v>336384</v>
      </c>
      <c r="AX21" s="235"/>
      <c r="AY21" s="235">
        <v>6727680</v>
      </c>
      <c r="AZ21" s="235">
        <v>44851200</v>
      </c>
      <c r="BA21" s="235"/>
      <c r="BB21" s="235">
        <v>0.05</v>
      </c>
      <c r="BC21" s="235"/>
      <c r="BD21" s="235"/>
      <c r="BE21" s="241"/>
    </row>
    <row r="22" spans="1:57">
      <c r="A22" s="236" t="s">
        <v>562</v>
      </c>
      <c r="B22" s="235" t="s">
        <v>428</v>
      </c>
      <c r="C22" s="235">
        <v>1991</v>
      </c>
      <c r="D22" s="235"/>
      <c r="E22" s="235">
        <v>1991</v>
      </c>
      <c r="F22" s="235" t="s">
        <v>27</v>
      </c>
      <c r="G22" s="235" t="s">
        <v>212</v>
      </c>
      <c r="H22" s="235">
        <v>165</v>
      </c>
      <c r="I22" s="235">
        <v>1</v>
      </c>
      <c r="J22" s="235" t="s">
        <v>350</v>
      </c>
      <c r="K22" s="235"/>
      <c r="L22" s="235"/>
      <c r="M22" s="235">
        <v>32</v>
      </c>
      <c r="N22" s="235">
        <v>5.4</v>
      </c>
      <c r="O22" s="235"/>
      <c r="P22" s="235">
        <v>1.5</v>
      </c>
      <c r="Q22" s="235"/>
      <c r="R22" s="235"/>
      <c r="S22" s="235"/>
      <c r="T22" s="235"/>
      <c r="U22" s="235">
        <v>20</v>
      </c>
      <c r="V22" s="235"/>
      <c r="W22" s="235"/>
      <c r="X22" s="235">
        <v>27</v>
      </c>
      <c r="Y22" s="235"/>
      <c r="Z22" s="235">
        <v>0.13</v>
      </c>
      <c r="AA22" s="235"/>
      <c r="AB22" s="235"/>
      <c r="AC22" s="235">
        <v>0.74</v>
      </c>
      <c r="AD22" s="235" t="s">
        <v>36</v>
      </c>
      <c r="AE22" s="235">
        <v>25</v>
      </c>
      <c r="AF22" s="235">
        <v>0.23200000000000001</v>
      </c>
      <c r="AG22" s="235">
        <v>165</v>
      </c>
      <c r="AH22" s="235">
        <v>894221</v>
      </c>
      <c r="AI22" s="235"/>
      <c r="AJ22" s="235"/>
      <c r="AK22" s="235" t="s">
        <v>689</v>
      </c>
      <c r="AL22" s="235" t="s">
        <v>597</v>
      </c>
      <c r="AM22" s="235">
        <v>2.5305049999999998</v>
      </c>
      <c r="AN22" s="235"/>
      <c r="AO22" s="235" t="s">
        <v>340</v>
      </c>
      <c r="AP22" s="235"/>
      <c r="AQ22" s="235">
        <v>248395</v>
      </c>
      <c r="AR22" s="235"/>
      <c r="AS22" s="235"/>
      <c r="AT22" s="235"/>
      <c r="AU22" s="235"/>
      <c r="AV22" s="235"/>
      <c r="AW22" s="235">
        <v>335332.8</v>
      </c>
      <c r="AX22" s="235"/>
      <c r="AY22" s="235">
        <v>6706656</v>
      </c>
      <c r="AZ22" s="235">
        <v>40646400</v>
      </c>
      <c r="BA22" s="235"/>
      <c r="BB22" s="235">
        <v>0.04</v>
      </c>
      <c r="BC22" s="235"/>
      <c r="BD22" s="235"/>
      <c r="BE22" s="241"/>
    </row>
    <row r="23" spans="1:57">
      <c r="A23" s="236" t="s">
        <v>562</v>
      </c>
      <c r="B23" s="235" t="s">
        <v>428</v>
      </c>
      <c r="C23" s="235">
        <v>1991</v>
      </c>
      <c r="D23" s="235"/>
      <c r="E23" s="235">
        <v>1991</v>
      </c>
      <c r="F23" s="235" t="s">
        <v>27</v>
      </c>
      <c r="G23" s="235" t="s">
        <v>212</v>
      </c>
      <c r="H23" s="235">
        <v>200</v>
      </c>
      <c r="I23" s="235">
        <v>1</v>
      </c>
      <c r="J23" s="235" t="s">
        <v>350</v>
      </c>
      <c r="K23" s="235"/>
      <c r="L23" s="235"/>
      <c r="M23" s="235">
        <v>30</v>
      </c>
      <c r="N23" s="235">
        <v>7</v>
      </c>
      <c r="O23" s="235"/>
      <c r="P23" s="235">
        <v>1.9</v>
      </c>
      <c r="Q23" s="235"/>
      <c r="R23" s="235"/>
      <c r="S23" s="235"/>
      <c r="T23" s="235"/>
      <c r="U23" s="235">
        <v>20</v>
      </c>
      <c r="V23" s="235"/>
      <c r="W23" s="235"/>
      <c r="X23" s="235">
        <v>18.899999999999999</v>
      </c>
      <c r="Y23" s="235"/>
      <c r="Z23" s="235">
        <v>0.19</v>
      </c>
      <c r="AA23" s="235"/>
      <c r="AB23" s="235"/>
      <c r="AC23" s="235">
        <v>1.06</v>
      </c>
      <c r="AD23" s="235" t="s">
        <v>36</v>
      </c>
      <c r="AE23" s="235">
        <v>26</v>
      </c>
      <c r="AF23" s="235">
        <v>0.21</v>
      </c>
      <c r="AG23" s="235">
        <v>200</v>
      </c>
      <c r="AH23" s="235">
        <v>1401600</v>
      </c>
      <c r="AI23" s="235"/>
      <c r="AJ23" s="235"/>
      <c r="AK23" s="235" t="s">
        <v>689</v>
      </c>
      <c r="AL23" s="235" t="s">
        <v>597</v>
      </c>
      <c r="AM23" s="235">
        <v>2.5305049999999998</v>
      </c>
      <c r="AN23" s="235"/>
      <c r="AO23" s="235" t="s">
        <v>340</v>
      </c>
      <c r="AP23" s="235"/>
      <c r="AQ23" s="235">
        <v>389333</v>
      </c>
      <c r="AR23" s="235"/>
      <c r="AS23" s="235"/>
      <c r="AT23" s="235"/>
      <c r="AU23" s="235"/>
      <c r="AV23" s="235"/>
      <c r="AW23" s="235">
        <v>367920</v>
      </c>
      <c r="AX23" s="235"/>
      <c r="AY23" s="235">
        <v>7358400</v>
      </c>
      <c r="AZ23" s="235">
        <v>36792000</v>
      </c>
      <c r="BA23" s="235"/>
      <c r="BB23" s="235">
        <v>0.05</v>
      </c>
      <c r="BC23" s="235"/>
      <c r="BD23" s="235"/>
      <c r="BE23" s="241"/>
    </row>
    <row r="24" spans="1:57">
      <c r="A24" s="236" t="s">
        <v>562</v>
      </c>
      <c r="B24" s="235" t="s">
        <v>428</v>
      </c>
      <c r="C24" s="235">
        <v>1991</v>
      </c>
      <c r="D24" s="235"/>
      <c r="E24" s="235">
        <v>1991</v>
      </c>
      <c r="F24" s="235" t="s">
        <v>27</v>
      </c>
      <c r="G24" s="235" t="s">
        <v>212</v>
      </c>
      <c r="H24" s="235">
        <v>225</v>
      </c>
      <c r="I24" s="235">
        <v>1</v>
      </c>
      <c r="J24" s="235"/>
      <c r="K24" s="235"/>
      <c r="L24" s="235"/>
      <c r="M24" s="235"/>
      <c r="N24" s="235">
        <v>7.8</v>
      </c>
      <c r="O24" s="235"/>
      <c r="P24" s="235">
        <v>2.2000000000000002</v>
      </c>
      <c r="Q24" s="235"/>
      <c r="R24" s="235"/>
      <c r="S24" s="235"/>
      <c r="T24" s="235"/>
      <c r="U24" s="235">
        <v>20</v>
      </c>
      <c r="V24" s="235"/>
      <c r="W24" s="235"/>
      <c r="X24" s="235">
        <v>32.299999999999997</v>
      </c>
      <c r="Y24" s="235"/>
      <c r="Z24" s="235">
        <v>0.11</v>
      </c>
      <c r="AA24" s="235"/>
      <c r="AB24" s="235"/>
      <c r="AC24" s="235">
        <v>0.62</v>
      </c>
      <c r="AD24" s="235" t="s">
        <v>36</v>
      </c>
      <c r="AE24" s="235">
        <v>27</v>
      </c>
      <c r="AF24" s="235">
        <v>0.39900000000000002</v>
      </c>
      <c r="AG24" s="235">
        <v>225</v>
      </c>
      <c r="AH24" s="235">
        <v>1753031</v>
      </c>
      <c r="AI24" s="235"/>
      <c r="AJ24" s="235"/>
      <c r="AK24" s="235" t="s">
        <v>689</v>
      </c>
      <c r="AL24" s="235" t="s">
        <v>597</v>
      </c>
      <c r="AM24" s="235">
        <v>2.5305049999999998</v>
      </c>
      <c r="AN24" s="235"/>
      <c r="AO24" s="235" t="s">
        <v>340</v>
      </c>
      <c r="AP24" s="235"/>
      <c r="AQ24" s="235">
        <v>486953</v>
      </c>
      <c r="AR24" s="235"/>
      <c r="AS24" s="235"/>
      <c r="AT24" s="235"/>
      <c r="AU24" s="235"/>
      <c r="AV24" s="235"/>
      <c r="AW24" s="235">
        <v>786429</v>
      </c>
      <c r="AX24" s="235"/>
      <c r="AY24" s="235">
        <v>15728580</v>
      </c>
      <c r="AZ24" s="235">
        <v>69904800</v>
      </c>
      <c r="BA24" s="235"/>
      <c r="BB24" s="235">
        <v>0.03</v>
      </c>
      <c r="BC24" s="235"/>
      <c r="BD24" s="235"/>
      <c r="BE24" s="241"/>
    </row>
    <row r="25" spans="1:57">
      <c r="A25" s="236" t="s">
        <v>562</v>
      </c>
      <c r="B25" s="235" t="s">
        <v>428</v>
      </c>
      <c r="C25" s="235">
        <v>1991</v>
      </c>
      <c r="D25" s="235"/>
      <c r="E25" s="235">
        <v>1991</v>
      </c>
      <c r="F25" s="235" t="s">
        <v>27</v>
      </c>
      <c r="G25" s="235" t="s">
        <v>212</v>
      </c>
      <c r="H25" s="235">
        <v>265</v>
      </c>
      <c r="I25" s="235">
        <v>1</v>
      </c>
      <c r="J25" s="235" t="s">
        <v>358</v>
      </c>
      <c r="K25" s="235"/>
      <c r="L25" s="235"/>
      <c r="M25" s="235">
        <v>30</v>
      </c>
      <c r="N25" s="235">
        <v>7.7</v>
      </c>
      <c r="O25" s="235"/>
      <c r="P25" s="235">
        <v>2.1</v>
      </c>
      <c r="Q25" s="235"/>
      <c r="R25" s="235"/>
      <c r="S25" s="235"/>
      <c r="T25" s="235"/>
      <c r="U25" s="235">
        <v>20</v>
      </c>
      <c r="V25" s="235"/>
      <c r="W25" s="235"/>
      <c r="X25" s="235">
        <v>15.6</v>
      </c>
      <c r="Y25" s="235"/>
      <c r="Z25" s="235">
        <v>0.23</v>
      </c>
      <c r="AA25" s="235"/>
      <c r="AB25" s="235"/>
      <c r="AC25" s="235">
        <v>1.28</v>
      </c>
      <c r="AD25" s="235" t="s">
        <v>36</v>
      </c>
      <c r="AE25" s="235">
        <v>52</v>
      </c>
      <c r="AF25" s="235">
        <v>0.19</v>
      </c>
      <c r="AG25" s="235">
        <v>265</v>
      </c>
      <c r="AH25" s="235">
        <v>2035689</v>
      </c>
      <c r="AI25" s="235"/>
      <c r="AJ25" s="235"/>
      <c r="AK25" s="235" t="s">
        <v>689</v>
      </c>
      <c r="AL25" s="235" t="s">
        <v>597</v>
      </c>
      <c r="AM25" s="235">
        <v>2.5305049999999998</v>
      </c>
      <c r="AN25" s="235"/>
      <c r="AO25" s="235" t="s">
        <v>340</v>
      </c>
      <c r="AP25" s="235"/>
      <c r="AQ25" s="235">
        <v>565469</v>
      </c>
      <c r="AR25" s="235"/>
      <c r="AS25" s="235"/>
      <c r="AT25" s="235"/>
      <c r="AU25" s="235"/>
      <c r="AV25" s="235"/>
      <c r="AW25" s="235">
        <v>441066</v>
      </c>
      <c r="AX25" s="235"/>
      <c r="AY25" s="235">
        <v>8821320</v>
      </c>
      <c r="AZ25" s="235">
        <v>33288000</v>
      </c>
      <c r="BA25" s="235"/>
      <c r="BB25" s="235">
        <v>0.06</v>
      </c>
      <c r="BC25" s="235"/>
      <c r="BD25" s="235"/>
      <c r="BE25" s="241"/>
    </row>
    <row r="26" spans="1:57">
      <c r="A26" s="236" t="s">
        <v>562</v>
      </c>
      <c r="B26" s="235" t="s">
        <v>428</v>
      </c>
      <c r="C26" s="235">
        <v>1991</v>
      </c>
      <c r="D26" s="235"/>
      <c r="E26" s="235">
        <v>1991</v>
      </c>
      <c r="F26" s="235" t="s">
        <v>27</v>
      </c>
      <c r="G26" s="235" t="s">
        <v>212</v>
      </c>
      <c r="H26" s="235">
        <v>300</v>
      </c>
      <c r="I26" s="235">
        <v>1</v>
      </c>
      <c r="J26" s="235"/>
      <c r="K26" s="235"/>
      <c r="L26" s="235"/>
      <c r="M26" s="235"/>
      <c r="N26" s="235">
        <v>9.3000000000000007</v>
      </c>
      <c r="O26" s="235"/>
      <c r="P26" s="235">
        <v>2.6</v>
      </c>
      <c r="Q26" s="235"/>
      <c r="R26" s="235"/>
      <c r="S26" s="235"/>
      <c r="T26" s="235"/>
      <c r="U26" s="235">
        <v>20</v>
      </c>
      <c r="V26" s="235"/>
      <c r="W26" s="235"/>
      <c r="X26" s="235">
        <v>27</v>
      </c>
      <c r="Y26" s="235"/>
      <c r="Z26" s="235">
        <v>0.13</v>
      </c>
      <c r="AA26" s="235"/>
      <c r="AB26" s="235"/>
      <c r="AC26" s="235">
        <v>0.74</v>
      </c>
      <c r="AD26" s="235" t="s">
        <v>36</v>
      </c>
      <c r="AE26" s="235">
        <v>32</v>
      </c>
      <c r="AF26" s="235">
        <v>0.39900000000000002</v>
      </c>
      <c r="AG26" s="235">
        <v>300</v>
      </c>
      <c r="AH26" s="235">
        <v>2796192</v>
      </c>
      <c r="AI26" s="235"/>
      <c r="AJ26" s="235"/>
      <c r="AK26" s="235" t="s">
        <v>689</v>
      </c>
      <c r="AL26" s="235" t="s">
        <v>597</v>
      </c>
      <c r="AM26" s="235">
        <v>2.5305049999999998</v>
      </c>
      <c r="AN26" s="235"/>
      <c r="AO26" s="235" t="s">
        <v>356</v>
      </c>
      <c r="AP26" s="235"/>
      <c r="AQ26" s="235">
        <v>776720</v>
      </c>
      <c r="AR26" s="235"/>
      <c r="AS26" s="235"/>
      <c r="AT26" s="235"/>
      <c r="AU26" s="235"/>
      <c r="AV26" s="235"/>
      <c r="AW26" s="235">
        <v>1048572</v>
      </c>
      <c r="AX26" s="235"/>
      <c r="AY26" s="235">
        <v>20971440</v>
      </c>
      <c r="AZ26" s="235">
        <v>69904800</v>
      </c>
      <c r="BA26" s="235"/>
      <c r="BB26" s="235">
        <v>0.04</v>
      </c>
      <c r="BC26" s="235"/>
      <c r="BD26" s="235"/>
      <c r="BE26" s="241"/>
    </row>
    <row r="27" spans="1:57">
      <c r="A27" s="236" t="s">
        <v>562</v>
      </c>
      <c r="B27" s="235" t="s">
        <v>428</v>
      </c>
      <c r="C27" s="235">
        <v>1991</v>
      </c>
      <c r="D27" s="235"/>
      <c r="E27" s="235">
        <v>1991</v>
      </c>
      <c r="F27" s="235" t="s">
        <v>27</v>
      </c>
      <c r="G27" s="235" t="s">
        <v>212</v>
      </c>
      <c r="H27" s="235">
        <v>450</v>
      </c>
      <c r="I27" s="235">
        <v>1</v>
      </c>
      <c r="J27" s="235" t="s">
        <v>350</v>
      </c>
      <c r="K27" s="235"/>
      <c r="L27" s="235"/>
      <c r="M27" s="235">
        <v>36</v>
      </c>
      <c r="N27" s="235">
        <v>6.1</v>
      </c>
      <c r="O27" s="235"/>
      <c r="P27" s="235">
        <v>1.7</v>
      </c>
      <c r="Q27" s="235"/>
      <c r="R27" s="235"/>
      <c r="S27" s="235"/>
      <c r="T27" s="235"/>
      <c r="U27" s="235">
        <v>20</v>
      </c>
      <c r="V27" s="235"/>
      <c r="W27" s="235"/>
      <c r="X27" s="235">
        <v>20.8</v>
      </c>
      <c r="Y27" s="235"/>
      <c r="Z27" s="235">
        <v>0.17</v>
      </c>
      <c r="AA27" s="235"/>
      <c r="AB27" s="235"/>
      <c r="AC27" s="235">
        <v>0.96</v>
      </c>
      <c r="AD27" s="235" t="s">
        <v>369</v>
      </c>
      <c r="AE27" s="235">
        <v>35</v>
      </c>
      <c r="AF27" s="235">
        <v>0.2</v>
      </c>
      <c r="AG27" s="235">
        <v>450</v>
      </c>
      <c r="AH27" s="235">
        <v>2729077</v>
      </c>
      <c r="AI27" s="235"/>
      <c r="AJ27" s="235"/>
      <c r="AK27" s="235" t="s">
        <v>689</v>
      </c>
      <c r="AL27" s="235" t="s">
        <v>597</v>
      </c>
      <c r="AM27" s="235">
        <v>2.5305049999999998</v>
      </c>
      <c r="AN27" s="235"/>
      <c r="AO27" s="235" t="s">
        <v>340</v>
      </c>
      <c r="AP27" s="235"/>
      <c r="AQ27" s="235">
        <v>758077</v>
      </c>
      <c r="AR27" s="235"/>
      <c r="AS27" s="235"/>
      <c r="AT27" s="235"/>
      <c r="AU27" s="235"/>
      <c r="AV27" s="235"/>
      <c r="AW27" s="235">
        <v>788400</v>
      </c>
      <c r="AX27" s="235"/>
      <c r="AY27" s="235">
        <v>15768000</v>
      </c>
      <c r="AZ27" s="235">
        <v>35040000</v>
      </c>
      <c r="BA27" s="235"/>
      <c r="BB27" s="235">
        <v>0.05</v>
      </c>
      <c r="BC27" s="235"/>
      <c r="BD27" s="235"/>
      <c r="BE27" s="241"/>
    </row>
    <row r="28" spans="1:57">
      <c r="A28" s="236" t="s">
        <v>562</v>
      </c>
      <c r="B28" s="235" t="s">
        <v>428</v>
      </c>
      <c r="C28" s="235">
        <v>1991</v>
      </c>
      <c r="D28" s="235"/>
      <c r="E28" s="235">
        <v>1991</v>
      </c>
      <c r="F28" s="235" t="s">
        <v>27</v>
      </c>
      <c r="G28" s="235" t="s">
        <v>212</v>
      </c>
      <c r="H28" s="235">
        <v>3000</v>
      </c>
      <c r="I28" s="235">
        <v>1</v>
      </c>
      <c r="J28" s="235"/>
      <c r="K28" s="235"/>
      <c r="L28" s="235"/>
      <c r="M28" s="235"/>
      <c r="N28" s="235">
        <v>9.6999999999999993</v>
      </c>
      <c r="O28" s="235"/>
      <c r="P28" s="235">
        <v>2.7</v>
      </c>
      <c r="Q28" s="235"/>
      <c r="R28" s="235"/>
      <c r="S28" s="235"/>
      <c r="T28" s="235"/>
      <c r="U28" s="235">
        <v>20</v>
      </c>
      <c r="V28" s="235"/>
      <c r="W28" s="235"/>
      <c r="X28" s="235">
        <v>22.2</v>
      </c>
      <c r="Y28" s="235"/>
      <c r="Z28" s="235">
        <v>0.16</v>
      </c>
      <c r="AA28" s="235"/>
      <c r="AB28" s="235"/>
      <c r="AC28" s="235">
        <v>0.9</v>
      </c>
      <c r="AD28" s="235" t="s">
        <v>36</v>
      </c>
      <c r="AE28" s="235">
        <v>80</v>
      </c>
      <c r="AF28" s="235">
        <v>0.34200000000000003</v>
      </c>
      <c r="AG28" s="235">
        <v>3000</v>
      </c>
      <c r="AH28" s="235">
        <v>29149492</v>
      </c>
      <c r="AI28" s="235"/>
      <c r="AJ28" s="235"/>
      <c r="AK28" s="235" t="s">
        <v>689</v>
      </c>
      <c r="AL28" s="235" t="s">
        <v>597</v>
      </c>
      <c r="AM28" s="235">
        <v>2.5305049999999998</v>
      </c>
      <c r="AN28" s="235"/>
      <c r="AO28" s="235" t="s">
        <v>356</v>
      </c>
      <c r="AP28" s="235"/>
      <c r="AQ28" s="235">
        <v>8097081</v>
      </c>
      <c r="AR28" s="235"/>
      <c r="AS28" s="235"/>
      <c r="AT28" s="235"/>
      <c r="AU28" s="235"/>
      <c r="AV28" s="235"/>
      <c r="AW28" s="235">
        <v>8987760</v>
      </c>
      <c r="AX28" s="235"/>
      <c r="AY28" s="235">
        <v>179755200</v>
      </c>
      <c r="AZ28" s="235">
        <v>59918400</v>
      </c>
      <c r="BA28" s="235"/>
      <c r="BB28" s="235">
        <v>0.05</v>
      </c>
      <c r="BC28" s="235"/>
      <c r="BD28" s="235"/>
      <c r="BE28" s="241"/>
    </row>
    <row r="29" spans="1:57">
      <c r="A29" s="236" t="s">
        <v>562</v>
      </c>
      <c r="B29" s="235" t="s">
        <v>428</v>
      </c>
      <c r="C29" s="235">
        <v>1991</v>
      </c>
      <c r="D29" s="235"/>
      <c r="E29" s="235">
        <v>1991</v>
      </c>
      <c r="F29" s="235" t="s">
        <v>27</v>
      </c>
      <c r="G29" s="235" t="s">
        <v>212</v>
      </c>
      <c r="H29" s="235">
        <v>3000</v>
      </c>
      <c r="I29" s="235">
        <v>1</v>
      </c>
      <c r="J29" s="235" t="s">
        <v>358</v>
      </c>
      <c r="K29" s="235"/>
      <c r="L29" s="235"/>
      <c r="M29" s="235">
        <v>100</v>
      </c>
      <c r="N29" s="235">
        <v>12.5</v>
      </c>
      <c r="O29" s="235"/>
      <c r="P29" s="235">
        <v>3.5</v>
      </c>
      <c r="Q29" s="235"/>
      <c r="R29" s="235"/>
      <c r="S29" s="235"/>
      <c r="T29" s="235"/>
      <c r="U29" s="235">
        <v>20</v>
      </c>
      <c r="V29" s="235"/>
      <c r="W29" s="235"/>
      <c r="X29" s="235">
        <v>15.4</v>
      </c>
      <c r="Y29" s="235"/>
      <c r="Z29" s="235">
        <v>0.23</v>
      </c>
      <c r="AA29" s="235"/>
      <c r="AB29" s="235"/>
      <c r="AC29" s="235">
        <v>1.3</v>
      </c>
      <c r="AD29" s="235" t="s">
        <v>369</v>
      </c>
      <c r="AE29" s="235">
        <v>100</v>
      </c>
      <c r="AF29" s="235">
        <v>0.30399999999999999</v>
      </c>
      <c r="AG29" s="235">
        <v>3000</v>
      </c>
      <c r="AH29" s="235">
        <v>37351730</v>
      </c>
      <c r="AI29" s="235"/>
      <c r="AJ29" s="235"/>
      <c r="AK29" s="235" t="s">
        <v>689</v>
      </c>
      <c r="AL29" s="235" t="s">
        <v>597</v>
      </c>
      <c r="AM29" s="235">
        <v>2.5305049999999998</v>
      </c>
      <c r="AN29" s="235"/>
      <c r="AO29" s="235" t="s">
        <v>340</v>
      </c>
      <c r="AP29" s="235"/>
      <c r="AQ29" s="235">
        <v>10375481</v>
      </c>
      <c r="AR29" s="235"/>
      <c r="AS29" s="235"/>
      <c r="AT29" s="235"/>
      <c r="AU29" s="235"/>
      <c r="AV29" s="235"/>
      <c r="AW29" s="235">
        <v>7989120</v>
      </c>
      <c r="AX29" s="235"/>
      <c r="AY29" s="235">
        <v>159782400</v>
      </c>
      <c r="AZ29" s="235">
        <v>53260800</v>
      </c>
      <c r="BA29" s="235"/>
      <c r="BB29" s="235">
        <v>0.06</v>
      </c>
      <c r="BC29" s="235"/>
      <c r="BD29" s="235"/>
      <c r="BE29" s="241"/>
    </row>
    <row r="30" spans="1:57">
      <c r="A30" s="236" t="s">
        <v>562</v>
      </c>
      <c r="B30" s="235" t="s">
        <v>428</v>
      </c>
      <c r="C30" s="235">
        <v>1992</v>
      </c>
      <c r="D30" s="235"/>
      <c r="E30" s="235">
        <v>1992</v>
      </c>
      <c r="F30" s="235" t="s">
        <v>109</v>
      </c>
      <c r="G30" s="235" t="s">
        <v>160</v>
      </c>
      <c r="H30" s="235">
        <v>100</v>
      </c>
      <c r="I30" s="235">
        <v>1</v>
      </c>
      <c r="J30" s="235"/>
      <c r="K30" s="235"/>
      <c r="L30" s="235"/>
      <c r="M30" s="235"/>
      <c r="N30" s="235">
        <v>68.5</v>
      </c>
      <c r="O30" s="235"/>
      <c r="P30" s="235">
        <v>19</v>
      </c>
      <c r="Q30" s="235">
        <v>527597</v>
      </c>
      <c r="R30" s="235"/>
      <c r="S30" s="235">
        <v>5.28</v>
      </c>
      <c r="T30" s="235"/>
      <c r="U30" s="235">
        <v>20</v>
      </c>
      <c r="V30" s="235"/>
      <c r="W30" s="235"/>
      <c r="X30" s="235">
        <v>2.9</v>
      </c>
      <c r="Y30" s="235"/>
      <c r="Z30" s="235">
        <v>1.24</v>
      </c>
      <c r="AA30" s="235"/>
      <c r="AB30" s="235"/>
      <c r="AC30" s="235">
        <v>6.9</v>
      </c>
      <c r="AD30" s="235" t="s">
        <v>344</v>
      </c>
      <c r="AE30" s="235"/>
      <c r="AF30" s="235">
        <v>0.315</v>
      </c>
      <c r="AG30" s="235">
        <v>100</v>
      </c>
      <c r="AH30" s="235">
        <v>6850924</v>
      </c>
      <c r="AI30" s="235"/>
      <c r="AJ30" s="235"/>
      <c r="AK30" s="235" t="s">
        <v>689</v>
      </c>
      <c r="AL30" s="235" t="s">
        <v>597</v>
      </c>
      <c r="AM30" s="235">
        <v>2.678655</v>
      </c>
      <c r="AN30" s="235"/>
      <c r="AO30" s="235" t="s">
        <v>340</v>
      </c>
      <c r="AP30" s="235"/>
      <c r="AQ30" s="235">
        <v>1903034</v>
      </c>
      <c r="AR30" s="235"/>
      <c r="AS30" s="235"/>
      <c r="AT30" s="235"/>
      <c r="AU30" s="235"/>
      <c r="AV30" s="235"/>
      <c r="AW30" s="235">
        <v>275940</v>
      </c>
      <c r="AX30" s="235"/>
      <c r="AY30" s="235">
        <v>5518800</v>
      </c>
      <c r="AZ30" s="235">
        <v>55188000</v>
      </c>
      <c r="BA30" s="235"/>
      <c r="BB30" s="235">
        <v>0.34</v>
      </c>
      <c r="BC30" s="235"/>
      <c r="BD30" s="235">
        <v>95.6</v>
      </c>
      <c r="BE30" s="241"/>
    </row>
    <row r="31" spans="1:57">
      <c r="A31" s="236" t="s">
        <v>562</v>
      </c>
      <c r="B31" s="235" t="s">
        <v>428</v>
      </c>
      <c r="C31" s="235">
        <v>1992</v>
      </c>
      <c r="D31" s="235"/>
      <c r="E31" s="235">
        <v>1992</v>
      </c>
      <c r="F31" s="235" t="s">
        <v>109</v>
      </c>
      <c r="G31" s="235" t="s">
        <v>160</v>
      </c>
      <c r="H31" s="235">
        <v>100</v>
      </c>
      <c r="I31" s="235">
        <v>1</v>
      </c>
      <c r="J31" s="235"/>
      <c r="K31" s="235"/>
      <c r="L31" s="235"/>
      <c r="M31" s="235"/>
      <c r="N31" s="235">
        <v>8.6999999999999993</v>
      </c>
      <c r="O31" s="235"/>
      <c r="P31" s="235">
        <v>2.4</v>
      </c>
      <c r="Q31" s="235">
        <v>247978</v>
      </c>
      <c r="R31" s="235"/>
      <c r="S31" s="235">
        <v>2.48</v>
      </c>
      <c r="T31" s="235"/>
      <c r="U31" s="235">
        <v>30</v>
      </c>
      <c r="V31" s="235"/>
      <c r="W31" s="235"/>
      <c r="X31" s="235">
        <v>30.3</v>
      </c>
      <c r="Y31" s="235"/>
      <c r="Z31" s="235">
        <v>0.12</v>
      </c>
      <c r="AA31" s="235"/>
      <c r="AB31" s="235"/>
      <c r="AC31" s="235">
        <v>0.99</v>
      </c>
      <c r="AD31" s="235" t="s">
        <v>344</v>
      </c>
      <c r="AE31" s="235">
        <v>30</v>
      </c>
      <c r="AF31" s="235">
        <v>0.28000000000000003</v>
      </c>
      <c r="AG31" s="235">
        <v>100</v>
      </c>
      <c r="AH31" s="235">
        <v>874265</v>
      </c>
      <c r="AI31" s="235"/>
      <c r="AJ31" s="235"/>
      <c r="AK31" s="235" t="s">
        <v>689</v>
      </c>
      <c r="AL31" s="235" t="s">
        <v>597</v>
      </c>
      <c r="AM31" s="235">
        <v>2.678655</v>
      </c>
      <c r="AN31" s="235"/>
      <c r="AO31" s="235" t="s">
        <v>340</v>
      </c>
      <c r="AP31" s="235"/>
      <c r="AQ31" s="235">
        <v>242851</v>
      </c>
      <c r="AR31" s="235"/>
      <c r="AS31" s="235"/>
      <c r="AT31" s="235"/>
      <c r="AU31" s="235"/>
      <c r="AV31" s="235"/>
      <c r="AW31" s="235">
        <v>245280</v>
      </c>
      <c r="AX31" s="235"/>
      <c r="AY31" s="235">
        <v>7358400</v>
      </c>
      <c r="AZ31" s="235">
        <v>73584000</v>
      </c>
      <c r="BA31" s="235"/>
      <c r="BB31" s="235">
        <v>0.03</v>
      </c>
      <c r="BC31" s="235"/>
      <c r="BD31" s="235">
        <v>33.700000000000003</v>
      </c>
      <c r="BE31" s="241"/>
    </row>
    <row r="32" spans="1:57">
      <c r="A32" s="236" t="s">
        <v>562</v>
      </c>
      <c r="B32" s="235" t="s">
        <v>428</v>
      </c>
      <c r="C32" s="235">
        <v>1992</v>
      </c>
      <c r="D32" s="235"/>
      <c r="E32" s="235">
        <v>1992</v>
      </c>
      <c r="F32" s="235" t="s">
        <v>109</v>
      </c>
      <c r="G32" s="235" t="s">
        <v>160</v>
      </c>
      <c r="H32" s="235">
        <v>100</v>
      </c>
      <c r="I32" s="235">
        <v>1</v>
      </c>
      <c r="J32" s="235"/>
      <c r="K32" s="235"/>
      <c r="L32" s="235"/>
      <c r="M32" s="235"/>
      <c r="N32" s="235">
        <v>20.5</v>
      </c>
      <c r="O32" s="235"/>
      <c r="P32" s="235">
        <v>5.7</v>
      </c>
      <c r="Q32" s="235"/>
      <c r="R32" s="235"/>
      <c r="S32" s="235"/>
      <c r="T32" s="235"/>
      <c r="U32" s="235">
        <v>30</v>
      </c>
      <c r="V32" s="235"/>
      <c r="W32" s="235"/>
      <c r="X32" s="235">
        <v>18.5</v>
      </c>
      <c r="Y32" s="235"/>
      <c r="Z32" s="235">
        <v>0.19</v>
      </c>
      <c r="AA32" s="235"/>
      <c r="AB32" s="235"/>
      <c r="AC32" s="235">
        <v>1.62</v>
      </c>
      <c r="AD32" s="235" t="s">
        <v>344</v>
      </c>
      <c r="AE32" s="235">
        <v>30</v>
      </c>
      <c r="AF32" s="235">
        <v>0.4</v>
      </c>
      <c r="AG32" s="235">
        <v>100</v>
      </c>
      <c r="AH32" s="235">
        <v>2045578</v>
      </c>
      <c r="AI32" s="235"/>
      <c r="AJ32" s="235"/>
      <c r="AK32" s="235" t="s">
        <v>689</v>
      </c>
      <c r="AL32" s="235" t="s">
        <v>597</v>
      </c>
      <c r="AM32" s="235">
        <v>2.678655</v>
      </c>
      <c r="AN32" s="235"/>
      <c r="AO32" s="235" t="s">
        <v>340</v>
      </c>
      <c r="AP32" s="235"/>
      <c r="AQ32" s="235">
        <v>568216</v>
      </c>
      <c r="AR32" s="235"/>
      <c r="AS32" s="235"/>
      <c r="AT32" s="235"/>
      <c r="AU32" s="235"/>
      <c r="AV32" s="235"/>
      <c r="AW32" s="235">
        <v>350400</v>
      </c>
      <c r="AX32" s="235"/>
      <c r="AY32" s="235">
        <v>10512000</v>
      </c>
      <c r="AZ32" s="235">
        <v>105120000</v>
      </c>
      <c r="BA32" s="235"/>
      <c r="BB32" s="235">
        <v>0.05</v>
      </c>
      <c r="BC32" s="235"/>
      <c r="BD32" s="235"/>
      <c r="BE32" s="241"/>
    </row>
    <row r="33" spans="1:57">
      <c r="A33" s="236" t="s">
        <v>562</v>
      </c>
      <c r="B33" s="235" t="s">
        <v>428</v>
      </c>
      <c r="C33" s="235">
        <v>1992</v>
      </c>
      <c r="D33" s="235"/>
      <c r="E33" s="235">
        <v>1992</v>
      </c>
      <c r="F33" s="235" t="s">
        <v>27</v>
      </c>
      <c r="G33" s="235" t="s">
        <v>212</v>
      </c>
      <c r="H33" s="235">
        <v>0.3</v>
      </c>
      <c r="I33" s="235">
        <v>1</v>
      </c>
      <c r="J33" s="235" t="s">
        <v>350</v>
      </c>
      <c r="K33" s="235"/>
      <c r="L33" s="235"/>
      <c r="M33" s="235">
        <v>11</v>
      </c>
      <c r="N33" s="235">
        <v>21.8</v>
      </c>
      <c r="O33" s="235"/>
      <c r="P33" s="235">
        <v>6.1</v>
      </c>
      <c r="Q33" s="235"/>
      <c r="R33" s="235"/>
      <c r="S33" s="235"/>
      <c r="T33" s="235"/>
      <c r="U33" s="235">
        <v>20</v>
      </c>
      <c r="V33" s="235"/>
      <c r="W33" s="235"/>
      <c r="X33" s="235">
        <v>11.2</v>
      </c>
      <c r="Y33" s="235"/>
      <c r="Z33" s="235">
        <v>0.32</v>
      </c>
      <c r="AA33" s="235"/>
      <c r="AB33" s="235"/>
      <c r="AC33" s="235">
        <v>1.79</v>
      </c>
      <c r="AD33" s="235" t="s">
        <v>361</v>
      </c>
      <c r="AE33" s="235">
        <v>1.5</v>
      </c>
      <c r="AF33" s="235">
        <v>0.38800000000000001</v>
      </c>
      <c r="AG33" s="235">
        <v>0.3</v>
      </c>
      <c r="AH33" s="235">
        <v>6555</v>
      </c>
      <c r="AI33" s="235"/>
      <c r="AJ33" s="235"/>
      <c r="AK33" s="235" t="s">
        <v>689</v>
      </c>
      <c r="AL33" s="235" t="s">
        <v>597</v>
      </c>
      <c r="AM33" s="235">
        <v>2.678655</v>
      </c>
      <c r="AN33" s="235"/>
      <c r="AO33" s="235" t="s">
        <v>340</v>
      </c>
      <c r="AP33" s="235"/>
      <c r="AQ33" s="235">
        <v>1821</v>
      </c>
      <c r="AR33" s="235"/>
      <c r="AS33" s="235"/>
      <c r="AT33" s="235"/>
      <c r="AU33" s="235"/>
      <c r="AV33" s="235"/>
      <c r="AW33" s="235">
        <v>1019.664</v>
      </c>
      <c r="AX33" s="235"/>
      <c r="AY33" s="235">
        <v>20393.28</v>
      </c>
      <c r="AZ33" s="235">
        <v>67977600</v>
      </c>
      <c r="BA33" s="235"/>
      <c r="BB33" s="235">
        <v>0.09</v>
      </c>
      <c r="BC33" s="235"/>
      <c r="BD33" s="235"/>
      <c r="BE33" s="241"/>
    </row>
    <row r="34" spans="1:57">
      <c r="A34" s="236" t="s">
        <v>562</v>
      </c>
      <c r="B34" s="235" t="s">
        <v>428</v>
      </c>
      <c r="C34" s="235">
        <v>1992</v>
      </c>
      <c r="D34" s="235"/>
      <c r="E34" s="235">
        <v>1992</v>
      </c>
      <c r="F34" s="235" t="s">
        <v>27</v>
      </c>
      <c r="G34" s="235" t="s">
        <v>212</v>
      </c>
      <c r="H34" s="235">
        <v>300</v>
      </c>
      <c r="I34" s="235">
        <v>1</v>
      </c>
      <c r="J34" s="235" t="s">
        <v>350</v>
      </c>
      <c r="K34" s="235"/>
      <c r="L34" s="235"/>
      <c r="M34" s="235">
        <v>34</v>
      </c>
      <c r="N34" s="235">
        <v>7.1</v>
      </c>
      <c r="O34" s="235"/>
      <c r="P34" s="235">
        <v>2</v>
      </c>
      <c r="Q34" s="235"/>
      <c r="R34" s="235"/>
      <c r="S34" s="235"/>
      <c r="T34" s="235"/>
      <c r="U34" s="235">
        <v>20</v>
      </c>
      <c r="V34" s="235"/>
      <c r="W34" s="235"/>
      <c r="X34" s="235">
        <v>37</v>
      </c>
      <c r="Y34" s="235"/>
      <c r="Z34" s="235">
        <v>0.1</v>
      </c>
      <c r="AA34" s="235"/>
      <c r="AB34" s="235"/>
      <c r="AC34" s="235">
        <v>0.54</v>
      </c>
      <c r="AD34" s="235" t="s">
        <v>364</v>
      </c>
      <c r="AE34" s="235">
        <v>32</v>
      </c>
      <c r="AF34" s="235">
        <v>0.41899999999999998</v>
      </c>
      <c r="AG34" s="235">
        <v>300</v>
      </c>
      <c r="AH34" s="235">
        <v>2142743</v>
      </c>
      <c r="AI34" s="235"/>
      <c r="AJ34" s="235"/>
      <c r="AK34" s="235" t="s">
        <v>689</v>
      </c>
      <c r="AL34" s="235" t="s">
        <v>597</v>
      </c>
      <c r="AM34" s="235">
        <v>2.678655</v>
      </c>
      <c r="AN34" s="235"/>
      <c r="AO34" s="235" t="s">
        <v>356</v>
      </c>
      <c r="AP34" s="235"/>
      <c r="AQ34" s="235">
        <v>595206</v>
      </c>
      <c r="AR34" s="235"/>
      <c r="AS34" s="235"/>
      <c r="AT34" s="235"/>
      <c r="AU34" s="235"/>
      <c r="AV34" s="235"/>
      <c r="AW34" s="235">
        <v>1101132</v>
      </c>
      <c r="AX34" s="235"/>
      <c r="AY34" s="235">
        <v>22022640</v>
      </c>
      <c r="AZ34" s="235">
        <v>73408800</v>
      </c>
      <c r="BA34" s="235"/>
      <c r="BB34" s="235">
        <v>0.03</v>
      </c>
      <c r="BC34" s="235"/>
      <c r="BD34" s="235"/>
      <c r="BE34" s="241"/>
    </row>
    <row r="35" spans="1:57">
      <c r="A35" s="236" t="s">
        <v>562</v>
      </c>
      <c r="B35" s="235" t="s">
        <v>428</v>
      </c>
      <c r="C35" s="235">
        <v>1993</v>
      </c>
      <c r="D35" s="235"/>
      <c r="E35" s="235">
        <v>1993</v>
      </c>
      <c r="F35" s="235" t="s">
        <v>27</v>
      </c>
      <c r="G35" s="235" t="s">
        <v>212</v>
      </c>
      <c r="H35" s="235">
        <v>300</v>
      </c>
      <c r="I35" s="235">
        <v>1</v>
      </c>
      <c r="J35" s="235"/>
      <c r="K35" s="235"/>
      <c r="L35" s="235"/>
      <c r="M35" s="235"/>
      <c r="N35" s="235">
        <v>6.6</v>
      </c>
      <c r="O35" s="235"/>
      <c r="P35" s="235">
        <v>1.8</v>
      </c>
      <c r="Q35" s="235">
        <v>131820</v>
      </c>
      <c r="R35" s="235"/>
      <c r="S35" s="235">
        <v>0.44</v>
      </c>
      <c r="T35" s="235"/>
      <c r="U35" s="235">
        <v>20</v>
      </c>
      <c r="V35" s="235"/>
      <c r="W35" s="235"/>
      <c r="X35" s="235">
        <v>21.7</v>
      </c>
      <c r="Y35" s="235"/>
      <c r="Z35" s="235">
        <v>0.17</v>
      </c>
      <c r="AA35" s="235"/>
      <c r="AB35" s="235"/>
      <c r="AC35" s="235">
        <v>0.92</v>
      </c>
      <c r="AD35" s="235" t="s">
        <v>361</v>
      </c>
      <c r="AE35" s="235"/>
      <c r="AF35" s="235">
        <v>0.22800000000000001</v>
      </c>
      <c r="AG35" s="235">
        <v>300</v>
      </c>
      <c r="AH35" s="235">
        <v>1988076</v>
      </c>
      <c r="AI35" s="235"/>
      <c r="AJ35" s="235"/>
      <c r="AK35" s="235" t="s">
        <v>689</v>
      </c>
      <c r="AL35" s="235" t="s">
        <v>597</v>
      </c>
      <c r="AM35" s="235">
        <v>2.9022549999999998</v>
      </c>
      <c r="AN35" s="235"/>
      <c r="AO35" s="235" t="s">
        <v>340</v>
      </c>
      <c r="AP35" s="235"/>
      <c r="AQ35" s="235">
        <v>552243</v>
      </c>
      <c r="AR35" s="235"/>
      <c r="AS35" s="235"/>
      <c r="AT35" s="235"/>
      <c r="AU35" s="235"/>
      <c r="AV35" s="235"/>
      <c r="AW35" s="235">
        <v>599184</v>
      </c>
      <c r="AX35" s="235"/>
      <c r="AY35" s="235">
        <v>11983680</v>
      </c>
      <c r="AZ35" s="235">
        <v>39945600</v>
      </c>
      <c r="BA35" s="235"/>
      <c r="BB35" s="235">
        <v>0.05</v>
      </c>
      <c r="BC35" s="235"/>
      <c r="BD35" s="235">
        <v>11</v>
      </c>
      <c r="BE35" s="241"/>
    </row>
    <row r="36" spans="1:57">
      <c r="A36" s="236" t="s">
        <v>562</v>
      </c>
      <c r="B36" s="235" t="s">
        <v>428</v>
      </c>
      <c r="C36" s="235">
        <v>1994</v>
      </c>
      <c r="D36" s="235"/>
      <c r="E36" s="235">
        <v>1994</v>
      </c>
      <c r="F36" s="235" t="s">
        <v>109</v>
      </c>
      <c r="G36" s="235" t="s">
        <v>212</v>
      </c>
      <c r="H36" s="235">
        <v>500</v>
      </c>
      <c r="I36" s="235">
        <v>1</v>
      </c>
      <c r="J36" s="235"/>
      <c r="K36" s="235"/>
      <c r="L36" s="235"/>
      <c r="M36" s="235"/>
      <c r="N36" s="235"/>
      <c r="O36" s="235"/>
      <c r="P36" s="235"/>
      <c r="Q36" s="235">
        <v>436844</v>
      </c>
      <c r="R36" s="235"/>
      <c r="S36" s="235">
        <v>0.87</v>
      </c>
      <c r="T36" s="235"/>
      <c r="U36" s="235">
        <v>20</v>
      </c>
      <c r="V36" s="235"/>
      <c r="W36" s="235"/>
      <c r="X36" s="235"/>
      <c r="Y36" s="235"/>
      <c r="Z36" s="235"/>
      <c r="AA36" s="235"/>
      <c r="AB36" s="235"/>
      <c r="AC36" s="235"/>
      <c r="AD36" s="235" t="s">
        <v>338</v>
      </c>
      <c r="AE36" s="235"/>
      <c r="AF36" s="235">
        <v>0.27400000000000002</v>
      </c>
      <c r="AG36" s="235">
        <v>500</v>
      </c>
      <c r="AH36" s="235"/>
      <c r="AI36" s="235"/>
      <c r="AJ36" s="235"/>
      <c r="AK36" s="235" t="s">
        <v>689</v>
      </c>
      <c r="AL36" s="235" t="s">
        <v>597</v>
      </c>
      <c r="AM36" s="235">
        <v>3.343855</v>
      </c>
      <c r="AN36" s="235"/>
      <c r="AO36" s="235" t="s">
        <v>340</v>
      </c>
      <c r="AP36" s="235"/>
      <c r="AQ36" s="235"/>
      <c r="AR36" s="235"/>
      <c r="AS36" s="235"/>
      <c r="AT36" s="235"/>
      <c r="AU36" s="235"/>
      <c r="AV36" s="235"/>
      <c r="AW36" s="235">
        <v>1200120</v>
      </c>
      <c r="AX36" s="235"/>
      <c r="AY36" s="235">
        <v>24002400</v>
      </c>
      <c r="AZ36" s="235">
        <v>48004800</v>
      </c>
      <c r="BA36" s="235"/>
      <c r="BB36" s="235"/>
      <c r="BC36" s="235"/>
      <c r="BD36" s="235">
        <v>18.2</v>
      </c>
      <c r="BE36" s="241"/>
    </row>
    <row r="37" spans="1:57">
      <c r="A37" s="236" t="s">
        <v>562</v>
      </c>
      <c r="B37" s="235" t="s">
        <v>428</v>
      </c>
      <c r="C37" s="235">
        <v>1994</v>
      </c>
      <c r="D37" s="235"/>
      <c r="E37" s="235">
        <v>1994</v>
      </c>
      <c r="F37" s="235" t="s">
        <v>27</v>
      </c>
      <c r="G37" s="235" t="s">
        <v>212</v>
      </c>
      <c r="H37" s="235">
        <v>300</v>
      </c>
      <c r="I37" s="235">
        <v>1</v>
      </c>
      <c r="J37" s="235"/>
      <c r="K37" s="235"/>
      <c r="L37" s="235"/>
      <c r="M37" s="235"/>
      <c r="N37" s="235">
        <v>3.2</v>
      </c>
      <c r="O37" s="235"/>
      <c r="P37" s="235">
        <v>0.9</v>
      </c>
      <c r="Q37" s="235"/>
      <c r="R37" s="235"/>
      <c r="S37" s="235"/>
      <c r="T37" s="235"/>
      <c r="U37" s="235">
        <v>20</v>
      </c>
      <c r="V37" s="235"/>
      <c r="W37" s="235"/>
      <c r="X37" s="235">
        <v>45.5</v>
      </c>
      <c r="Y37" s="235"/>
      <c r="Z37" s="235">
        <v>0.08</v>
      </c>
      <c r="AA37" s="235"/>
      <c r="AB37" s="235"/>
      <c r="AC37" s="235">
        <v>0.44</v>
      </c>
      <c r="AD37" s="235" t="s">
        <v>367</v>
      </c>
      <c r="AE37" s="235"/>
      <c r="AF37" s="235">
        <v>0.22800000000000001</v>
      </c>
      <c r="AG37" s="235">
        <v>300</v>
      </c>
      <c r="AH37" s="235">
        <v>948159</v>
      </c>
      <c r="AI37" s="235"/>
      <c r="AJ37" s="235"/>
      <c r="AK37" s="235" t="s">
        <v>689</v>
      </c>
      <c r="AL37" s="235" t="s">
        <v>597</v>
      </c>
      <c r="AM37" s="235">
        <v>3.343855</v>
      </c>
      <c r="AN37" s="235"/>
      <c r="AO37" s="235" t="s">
        <v>340</v>
      </c>
      <c r="AP37" s="235"/>
      <c r="AQ37" s="235">
        <v>263378</v>
      </c>
      <c r="AR37" s="235"/>
      <c r="AS37" s="235"/>
      <c r="AT37" s="235"/>
      <c r="AU37" s="235"/>
      <c r="AV37" s="235"/>
      <c r="AW37" s="235">
        <v>599184</v>
      </c>
      <c r="AX37" s="235"/>
      <c r="AY37" s="235">
        <v>11983680</v>
      </c>
      <c r="AZ37" s="235">
        <v>39945600</v>
      </c>
      <c r="BA37" s="235"/>
      <c r="BB37" s="235">
        <v>0.02</v>
      </c>
      <c r="BC37" s="235"/>
      <c r="BD37" s="235"/>
      <c r="BE37" s="241"/>
    </row>
    <row r="38" spans="1:57">
      <c r="A38" s="236" t="s">
        <v>562</v>
      </c>
      <c r="B38" s="235" t="s">
        <v>428</v>
      </c>
      <c r="C38" s="235">
        <v>1994</v>
      </c>
      <c r="D38" s="235"/>
      <c r="E38" s="235">
        <v>1994</v>
      </c>
      <c r="F38" s="235" t="s">
        <v>27</v>
      </c>
      <c r="G38" s="235" t="s">
        <v>212</v>
      </c>
      <c r="H38" s="235">
        <v>500</v>
      </c>
      <c r="I38" s="235">
        <v>1</v>
      </c>
      <c r="J38" s="235" t="s">
        <v>370</v>
      </c>
      <c r="K38" s="235"/>
      <c r="L38" s="235"/>
      <c r="M38" s="235">
        <v>41</v>
      </c>
      <c r="N38" s="235">
        <v>15.7</v>
      </c>
      <c r="O38" s="235"/>
      <c r="P38" s="235">
        <v>4.4000000000000004</v>
      </c>
      <c r="Q38" s="235">
        <v>258989</v>
      </c>
      <c r="R38" s="235"/>
      <c r="S38" s="235">
        <v>0.52</v>
      </c>
      <c r="T38" s="235"/>
      <c r="U38" s="235">
        <v>20</v>
      </c>
      <c r="V38" s="235"/>
      <c r="W38" s="235"/>
      <c r="X38" s="235">
        <v>14.7</v>
      </c>
      <c r="Y38" s="235"/>
      <c r="Z38" s="235">
        <v>0.24</v>
      </c>
      <c r="AA38" s="235"/>
      <c r="AB38" s="235"/>
      <c r="AC38" s="235">
        <v>1.36</v>
      </c>
      <c r="AD38" s="235" t="s">
        <v>36</v>
      </c>
      <c r="AE38" s="235">
        <v>39</v>
      </c>
      <c r="AF38" s="235">
        <v>0.36499999999999999</v>
      </c>
      <c r="AG38" s="235">
        <v>500</v>
      </c>
      <c r="AH38" s="235">
        <v>7830367</v>
      </c>
      <c r="AI38" s="235"/>
      <c r="AJ38" s="235"/>
      <c r="AK38" s="235" t="s">
        <v>689</v>
      </c>
      <c r="AL38" s="235" t="s">
        <v>597</v>
      </c>
      <c r="AM38" s="235">
        <v>3.343855</v>
      </c>
      <c r="AN38" s="235"/>
      <c r="AO38" s="235" t="s">
        <v>340</v>
      </c>
      <c r="AP38" s="235"/>
      <c r="AQ38" s="235">
        <v>2175102</v>
      </c>
      <c r="AR38" s="235"/>
      <c r="AS38" s="235"/>
      <c r="AT38" s="235"/>
      <c r="AU38" s="235"/>
      <c r="AV38" s="235"/>
      <c r="AW38" s="235">
        <v>1598700</v>
      </c>
      <c r="AX38" s="235"/>
      <c r="AY38" s="235">
        <v>31974000</v>
      </c>
      <c r="AZ38" s="235">
        <v>63948000</v>
      </c>
      <c r="BA38" s="235"/>
      <c r="BB38" s="235">
        <v>7.0000000000000007E-2</v>
      </c>
      <c r="BC38" s="235"/>
      <c r="BD38" s="235">
        <v>8.1</v>
      </c>
      <c r="BE38" s="241"/>
    </row>
    <row r="39" spans="1:57">
      <c r="A39" s="236" t="s">
        <v>615</v>
      </c>
      <c r="B39" s="235" t="s">
        <v>451</v>
      </c>
      <c r="C39" s="235">
        <v>1994</v>
      </c>
      <c r="D39" s="235"/>
      <c r="E39" s="235">
        <v>1994</v>
      </c>
      <c r="F39" s="235"/>
      <c r="G39" s="235"/>
      <c r="H39" s="235">
        <v>300</v>
      </c>
      <c r="I39" s="235">
        <v>1</v>
      </c>
      <c r="J39" s="235"/>
      <c r="K39" s="235"/>
      <c r="L39" s="235" t="s">
        <v>24</v>
      </c>
      <c r="M39" s="235"/>
      <c r="N39" s="235"/>
      <c r="O39" s="235"/>
      <c r="P39" s="235"/>
      <c r="Q39" s="235">
        <v>281175</v>
      </c>
      <c r="R39" s="235"/>
      <c r="S39" s="235">
        <v>0.94</v>
      </c>
      <c r="T39" s="235"/>
      <c r="U39" s="235">
        <v>40</v>
      </c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>
        <v>0.24</v>
      </c>
      <c r="AG39" s="235">
        <v>300</v>
      </c>
      <c r="AH39" s="235"/>
      <c r="AI39" s="235"/>
      <c r="AJ39" s="235"/>
      <c r="AK39" s="235" t="s">
        <v>598</v>
      </c>
      <c r="AL39" s="235" t="s">
        <v>597</v>
      </c>
      <c r="AM39" s="235">
        <v>3.343855</v>
      </c>
      <c r="AN39" s="235"/>
      <c r="AO39" s="235"/>
      <c r="AP39" s="235"/>
      <c r="AQ39" s="235"/>
      <c r="AR39" s="235"/>
      <c r="AS39" s="235"/>
      <c r="AT39" s="235"/>
      <c r="AU39" s="235"/>
      <c r="AV39" s="235"/>
      <c r="AW39" s="235">
        <v>630720</v>
      </c>
      <c r="AX39" s="235"/>
      <c r="AY39" s="235">
        <v>25228800</v>
      </c>
      <c r="AZ39" s="235">
        <v>84096000</v>
      </c>
      <c r="BA39" s="235"/>
      <c r="BB39" s="235"/>
      <c r="BC39" s="235"/>
      <c r="BD39" s="235">
        <v>11.15</v>
      </c>
      <c r="BE39" s="241"/>
    </row>
    <row r="40" spans="1:57">
      <c r="A40" s="236" t="s">
        <v>562</v>
      </c>
      <c r="B40" s="235" t="s">
        <v>428</v>
      </c>
      <c r="C40" s="235">
        <v>1995</v>
      </c>
      <c r="D40" s="235"/>
      <c r="E40" s="235">
        <v>1995</v>
      </c>
      <c r="F40" s="235" t="s">
        <v>27</v>
      </c>
      <c r="G40" s="235" t="s">
        <v>30</v>
      </c>
      <c r="H40" s="235">
        <v>350</v>
      </c>
      <c r="I40" s="235">
        <v>1</v>
      </c>
      <c r="J40" s="235" t="s">
        <v>350</v>
      </c>
      <c r="K40" s="235"/>
      <c r="L40" s="235"/>
      <c r="M40" s="235">
        <v>30</v>
      </c>
      <c r="N40" s="235">
        <v>8</v>
      </c>
      <c r="O40" s="235"/>
      <c r="P40" s="235">
        <v>2.2000000000000002</v>
      </c>
      <c r="Q40" s="235">
        <v>167404</v>
      </c>
      <c r="R40" s="235"/>
      <c r="S40" s="235">
        <v>0.42</v>
      </c>
      <c r="T40" s="235"/>
      <c r="U40" s="235">
        <v>20</v>
      </c>
      <c r="V40" s="235"/>
      <c r="W40" s="235"/>
      <c r="X40" s="235">
        <v>23.8</v>
      </c>
      <c r="Y40" s="235"/>
      <c r="Z40" s="235">
        <v>0.15</v>
      </c>
      <c r="AA40" s="235"/>
      <c r="AB40" s="235"/>
      <c r="AC40" s="235">
        <v>0.84</v>
      </c>
      <c r="AD40" s="235" t="s">
        <v>36</v>
      </c>
      <c r="AE40" s="235">
        <v>30</v>
      </c>
      <c r="AF40" s="235">
        <v>0.3</v>
      </c>
      <c r="AG40" s="235">
        <v>350</v>
      </c>
      <c r="AH40" s="235">
        <v>2782588</v>
      </c>
      <c r="AI40" s="235"/>
      <c r="AJ40" s="235"/>
      <c r="AK40" s="235" t="s">
        <v>689</v>
      </c>
      <c r="AL40" s="235" t="s">
        <v>597</v>
      </c>
      <c r="AM40" s="235">
        <v>4.2103549999999998</v>
      </c>
      <c r="AN40" s="235"/>
      <c r="AO40" s="235" t="s">
        <v>340</v>
      </c>
      <c r="AP40" s="235"/>
      <c r="AQ40" s="235">
        <v>772941</v>
      </c>
      <c r="AR40" s="235"/>
      <c r="AS40" s="235"/>
      <c r="AT40" s="235"/>
      <c r="AU40" s="235"/>
      <c r="AV40" s="235"/>
      <c r="AW40" s="235">
        <v>919800</v>
      </c>
      <c r="AX40" s="235"/>
      <c r="AY40" s="235">
        <v>18396000</v>
      </c>
      <c r="AZ40" s="235">
        <v>52560000</v>
      </c>
      <c r="BA40" s="235"/>
      <c r="BB40" s="235">
        <v>0.04</v>
      </c>
      <c r="BC40" s="235"/>
      <c r="BD40" s="235">
        <v>9.1</v>
      </c>
      <c r="BE40" s="241"/>
    </row>
    <row r="41" spans="1:57">
      <c r="A41" s="236" t="s">
        <v>633</v>
      </c>
      <c r="B41" s="235" t="s">
        <v>447</v>
      </c>
      <c r="C41" s="235">
        <v>1995</v>
      </c>
      <c r="D41" s="235"/>
      <c r="E41" s="235">
        <v>1995</v>
      </c>
      <c r="F41" s="235"/>
      <c r="G41" s="235"/>
      <c r="H41" s="235">
        <v>400</v>
      </c>
      <c r="I41" s="235">
        <v>1</v>
      </c>
      <c r="J41" s="235"/>
      <c r="K41" s="235"/>
      <c r="L41" s="235" t="s">
        <v>24</v>
      </c>
      <c r="M41" s="235"/>
      <c r="N41" s="235"/>
      <c r="O41" s="235"/>
      <c r="P41" s="235"/>
      <c r="Q41" s="235">
        <v>191318</v>
      </c>
      <c r="R41" s="235"/>
      <c r="S41" s="235">
        <v>0.48</v>
      </c>
      <c r="T41" s="235"/>
      <c r="U41" s="235">
        <v>20</v>
      </c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>
        <v>0.3</v>
      </c>
      <c r="AG41" s="235">
        <v>400</v>
      </c>
      <c r="AH41" s="235"/>
      <c r="AI41" s="235"/>
      <c r="AJ41" s="235"/>
      <c r="AK41" s="235" t="s">
        <v>598</v>
      </c>
      <c r="AL41" s="235" t="s">
        <v>597</v>
      </c>
      <c r="AM41" s="235">
        <v>4.2103549999999998</v>
      </c>
      <c r="AN41" s="235"/>
      <c r="AO41" s="235"/>
      <c r="AP41" s="235"/>
      <c r="AQ41" s="235"/>
      <c r="AR41" s="235"/>
      <c r="AS41" s="235"/>
      <c r="AT41" s="235"/>
      <c r="AU41" s="235"/>
      <c r="AV41" s="235"/>
      <c r="AW41" s="235">
        <v>1051200</v>
      </c>
      <c r="AX41" s="235"/>
      <c r="AY41" s="235">
        <v>21024000</v>
      </c>
      <c r="AZ41" s="235">
        <v>52560000</v>
      </c>
      <c r="BA41" s="235"/>
      <c r="BB41" s="235"/>
      <c r="BC41" s="235"/>
      <c r="BD41" s="235">
        <v>9.1</v>
      </c>
      <c r="BE41" s="241"/>
    </row>
    <row r="42" spans="1:57">
      <c r="A42" s="236" t="s">
        <v>622</v>
      </c>
      <c r="B42" s="235" t="s">
        <v>432</v>
      </c>
      <c r="C42" s="235">
        <v>1995</v>
      </c>
      <c r="D42" s="235"/>
      <c r="E42" s="235">
        <v>1995</v>
      </c>
      <c r="F42" s="235"/>
      <c r="G42" s="235"/>
      <c r="H42" s="235">
        <v>225</v>
      </c>
      <c r="I42" s="235">
        <v>1</v>
      </c>
      <c r="J42" s="235"/>
      <c r="K42" s="235"/>
      <c r="L42" s="235" t="s">
        <v>24</v>
      </c>
      <c r="M42" s="235"/>
      <c r="N42" s="235"/>
      <c r="O42" s="235"/>
      <c r="P42" s="235"/>
      <c r="Q42" s="235">
        <v>157680</v>
      </c>
      <c r="R42" s="235"/>
      <c r="S42" s="235">
        <v>0.7</v>
      </c>
      <c r="T42" s="235"/>
      <c r="U42" s="235">
        <v>20</v>
      </c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>
        <v>0.2</v>
      </c>
      <c r="AG42" s="235">
        <v>225</v>
      </c>
      <c r="AH42" s="235"/>
      <c r="AI42" s="235"/>
      <c r="AJ42" s="235"/>
      <c r="AK42" s="235" t="s">
        <v>598</v>
      </c>
      <c r="AL42" s="235" t="s">
        <v>597</v>
      </c>
      <c r="AM42" s="235">
        <v>4.2103549999999998</v>
      </c>
      <c r="AN42" s="235"/>
      <c r="AO42" s="235"/>
      <c r="AP42" s="235"/>
      <c r="AQ42" s="235"/>
      <c r="AR42" s="235"/>
      <c r="AS42" s="235"/>
      <c r="AT42" s="235"/>
      <c r="AU42" s="235"/>
      <c r="AV42" s="235"/>
      <c r="AW42" s="235">
        <v>394200</v>
      </c>
      <c r="AX42" s="235"/>
      <c r="AY42" s="235">
        <v>7884000</v>
      </c>
      <c r="AZ42" s="235">
        <v>35040000</v>
      </c>
      <c r="BA42" s="235"/>
      <c r="BB42" s="235"/>
      <c r="BC42" s="235"/>
      <c r="BD42" s="235">
        <v>20</v>
      </c>
      <c r="BE42" s="241"/>
    </row>
    <row r="43" spans="1:57">
      <c r="A43" s="236" t="s">
        <v>562</v>
      </c>
      <c r="B43" s="235" t="s">
        <v>428</v>
      </c>
      <c r="C43" s="235">
        <v>1996</v>
      </c>
      <c r="D43" s="235"/>
      <c r="E43" s="235">
        <v>1996</v>
      </c>
      <c r="F43" s="235" t="s">
        <v>109</v>
      </c>
      <c r="G43" s="235" t="s">
        <v>160</v>
      </c>
      <c r="H43" s="235">
        <v>100</v>
      </c>
      <c r="I43" s="235">
        <v>1</v>
      </c>
      <c r="J43" s="235"/>
      <c r="K43" s="235"/>
      <c r="L43" s="235"/>
      <c r="M43" s="235"/>
      <c r="N43" s="235">
        <v>82.3</v>
      </c>
      <c r="O43" s="235"/>
      <c r="P43" s="235">
        <v>22.9</v>
      </c>
      <c r="Q43" s="235">
        <v>649642</v>
      </c>
      <c r="R43" s="235"/>
      <c r="S43" s="235">
        <v>6.5</v>
      </c>
      <c r="T43" s="235"/>
      <c r="U43" s="235">
        <v>30</v>
      </c>
      <c r="V43" s="235"/>
      <c r="W43" s="235"/>
      <c r="X43" s="235">
        <v>2.2999999999999998</v>
      </c>
      <c r="Y43" s="235"/>
      <c r="Z43" s="235">
        <v>1.57</v>
      </c>
      <c r="AA43" s="235"/>
      <c r="AB43" s="235"/>
      <c r="AC43" s="235">
        <v>13.04</v>
      </c>
      <c r="AD43" s="235" t="s">
        <v>341</v>
      </c>
      <c r="AE43" s="235"/>
      <c r="AF43" s="235">
        <v>0.2</v>
      </c>
      <c r="AG43" s="235">
        <v>100</v>
      </c>
      <c r="AH43" s="235">
        <v>8226783</v>
      </c>
      <c r="AI43" s="235"/>
      <c r="AJ43" s="235"/>
      <c r="AK43" s="235" t="s">
        <v>689</v>
      </c>
      <c r="AL43" s="235" t="s">
        <v>597</v>
      </c>
      <c r="AM43" s="235">
        <v>5.6738549999999996</v>
      </c>
      <c r="AN43" s="235"/>
      <c r="AO43" s="235" t="s">
        <v>340</v>
      </c>
      <c r="AP43" s="235"/>
      <c r="AQ43" s="235">
        <v>2285217</v>
      </c>
      <c r="AR43" s="235"/>
      <c r="AS43" s="235"/>
      <c r="AT43" s="235"/>
      <c r="AU43" s="235"/>
      <c r="AV43" s="235"/>
      <c r="AW43" s="235">
        <v>175200</v>
      </c>
      <c r="AX43" s="235"/>
      <c r="AY43" s="235">
        <v>5256000</v>
      </c>
      <c r="AZ43" s="235">
        <v>52560000</v>
      </c>
      <c r="BA43" s="235"/>
      <c r="BB43" s="235">
        <v>0.43</v>
      </c>
      <c r="BC43" s="235"/>
      <c r="BD43" s="235">
        <v>123.6</v>
      </c>
      <c r="BE43" s="241"/>
    </row>
    <row r="44" spans="1:57">
      <c r="A44" s="236" t="s">
        <v>562</v>
      </c>
      <c r="B44" s="235" t="s">
        <v>428</v>
      </c>
      <c r="C44" s="235">
        <v>1996</v>
      </c>
      <c r="D44" s="235">
        <v>1984</v>
      </c>
      <c r="E44" s="235">
        <v>1984</v>
      </c>
      <c r="F44" s="235" t="s">
        <v>109</v>
      </c>
      <c r="G44" s="235" t="s">
        <v>160</v>
      </c>
      <c r="H44" s="235">
        <v>100</v>
      </c>
      <c r="I44" s="235">
        <v>1</v>
      </c>
      <c r="J44" s="235">
        <v>1984</v>
      </c>
      <c r="K44" s="235"/>
      <c r="L44" s="235"/>
      <c r="M44" s="235"/>
      <c r="N44" s="235">
        <v>51.6</v>
      </c>
      <c r="O44" s="235"/>
      <c r="P44" s="235">
        <v>14.3</v>
      </c>
      <c r="Q44" s="235">
        <v>390100</v>
      </c>
      <c r="R44" s="235"/>
      <c r="S44" s="235">
        <v>3.9</v>
      </c>
      <c r="T44" s="235"/>
      <c r="U44" s="235">
        <v>20</v>
      </c>
      <c r="V44" s="235"/>
      <c r="W44" s="235"/>
      <c r="X44" s="235">
        <v>2.2000000000000002</v>
      </c>
      <c r="Y44" s="235"/>
      <c r="Z44" s="235">
        <v>1.64</v>
      </c>
      <c r="AA44" s="235"/>
      <c r="AB44" s="235"/>
      <c r="AC44" s="235">
        <v>9.09</v>
      </c>
      <c r="AD44" s="235" t="s">
        <v>341</v>
      </c>
      <c r="AE44" s="235">
        <v>30</v>
      </c>
      <c r="AF44" s="235">
        <v>0.18</v>
      </c>
      <c r="AG44" s="235">
        <v>100</v>
      </c>
      <c r="AH44" s="235">
        <v>5160436</v>
      </c>
      <c r="AI44" s="235"/>
      <c r="AJ44" s="235"/>
      <c r="AK44" s="235" t="s">
        <v>689</v>
      </c>
      <c r="AL44" s="235" t="s">
        <v>597</v>
      </c>
      <c r="AM44" s="235"/>
      <c r="AN44" s="235"/>
      <c r="AO44" s="235" t="s">
        <v>340</v>
      </c>
      <c r="AP44" s="235"/>
      <c r="AQ44" s="235">
        <v>1433455</v>
      </c>
      <c r="AR44" s="235"/>
      <c r="AS44" s="235"/>
      <c r="AT44" s="235"/>
      <c r="AU44" s="235"/>
      <c r="AV44" s="235"/>
      <c r="AW44" s="235">
        <v>157680</v>
      </c>
      <c r="AX44" s="235"/>
      <c r="AY44" s="235">
        <v>3153600</v>
      </c>
      <c r="AZ44" s="235">
        <v>31536000</v>
      </c>
      <c r="BA44" s="235"/>
      <c r="BB44" s="235">
        <v>0.45</v>
      </c>
      <c r="BC44" s="235"/>
      <c r="BD44" s="235">
        <v>123.7</v>
      </c>
      <c r="BE44" s="241"/>
    </row>
    <row r="45" spans="1:57">
      <c r="A45" s="236" t="s">
        <v>562</v>
      </c>
      <c r="B45" s="235" t="s">
        <v>428</v>
      </c>
      <c r="C45" s="235">
        <v>1996</v>
      </c>
      <c r="D45" s="235"/>
      <c r="E45" s="235">
        <v>1996</v>
      </c>
      <c r="F45" s="235" t="s">
        <v>109</v>
      </c>
      <c r="G45" s="235" t="s">
        <v>160</v>
      </c>
      <c r="H45" s="235">
        <v>170</v>
      </c>
      <c r="I45" s="235">
        <v>1</v>
      </c>
      <c r="J45" s="235"/>
      <c r="K45" s="235"/>
      <c r="L45" s="235"/>
      <c r="M45" s="235"/>
      <c r="N45" s="235">
        <v>24.5</v>
      </c>
      <c r="O45" s="235"/>
      <c r="P45" s="235">
        <v>6.8</v>
      </c>
      <c r="Q45" s="235">
        <v>317646</v>
      </c>
      <c r="R45" s="235"/>
      <c r="S45" s="235">
        <v>1.06</v>
      </c>
      <c r="T45" s="235"/>
      <c r="U45" s="235">
        <v>20</v>
      </c>
      <c r="V45" s="235"/>
      <c r="W45" s="235"/>
      <c r="X45" s="235">
        <v>5.8</v>
      </c>
      <c r="Y45" s="235"/>
      <c r="Z45" s="235">
        <v>0.62</v>
      </c>
      <c r="AA45" s="235"/>
      <c r="AB45" s="235"/>
      <c r="AC45" s="235">
        <v>3.45</v>
      </c>
      <c r="AD45" s="235" t="s">
        <v>341</v>
      </c>
      <c r="AE45" s="235">
        <v>27</v>
      </c>
      <c r="AF45" s="235">
        <v>0.22500000000000001</v>
      </c>
      <c r="AG45" s="235">
        <v>170</v>
      </c>
      <c r="AH45" s="235">
        <v>4159490</v>
      </c>
      <c r="AI45" s="235"/>
      <c r="AJ45" s="235"/>
      <c r="AK45" s="235" t="s">
        <v>689</v>
      </c>
      <c r="AL45" s="235" t="s">
        <v>597</v>
      </c>
      <c r="AM45" s="235">
        <v>5.6738549999999996</v>
      </c>
      <c r="AN45" s="235"/>
      <c r="AO45" s="235" t="s">
        <v>340</v>
      </c>
      <c r="AP45" s="235"/>
      <c r="AQ45" s="235">
        <v>1155414</v>
      </c>
      <c r="AR45" s="235"/>
      <c r="AS45" s="235"/>
      <c r="AT45" s="235"/>
      <c r="AU45" s="235"/>
      <c r="AV45" s="235"/>
      <c r="AW45" s="235">
        <v>335070</v>
      </c>
      <c r="AX45" s="235"/>
      <c r="AY45" s="235">
        <v>6701400</v>
      </c>
      <c r="AZ45" s="235">
        <v>39420000</v>
      </c>
      <c r="BA45" s="235"/>
      <c r="BB45" s="235">
        <v>0.17</v>
      </c>
      <c r="BC45" s="235"/>
      <c r="BD45" s="235">
        <v>47.4</v>
      </c>
      <c r="BE45" s="241"/>
    </row>
    <row r="46" spans="1:57">
      <c r="A46" s="236" t="s">
        <v>562</v>
      </c>
      <c r="B46" s="235" t="s">
        <v>428</v>
      </c>
      <c r="C46" s="235">
        <v>1996</v>
      </c>
      <c r="D46" s="235"/>
      <c r="E46" s="235">
        <v>1996</v>
      </c>
      <c r="F46" s="235" t="s">
        <v>109</v>
      </c>
      <c r="G46" s="235" t="s">
        <v>160</v>
      </c>
      <c r="H46" s="235">
        <v>300</v>
      </c>
      <c r="I46" s="235">
        <v>1</v>
      </c>
      <c r="J46" s="235"/>
      <c r="K46" s="235"/>
      <c r="L46" s="235"/>
      <c r="M46" s="235"/>
      <c r="N46" s="235">
        <v>13.4</v>
      </c>
      <c r="O46" s="235"/>
      <c r="P46" s="235">
        <v>3.7</v>
      </c>
      <c r="Q46" s="235">
        <v>330182</v>
      </c>
      <c r="R46" s="235"/>
      <c r="S46" s="235">
        <v>0.96</v>
      </c>
      <c r="T46" s="235"/>
      <c r="U46" s="235">
        <v>20</v>
      </c>
      <c r="V46" s="235"/>
      <c r="W46" s="235"/>
      <c r="X46" s="235">
        <v>8.5</v>
      </c>
      <c r="Y46" s="235"/>
      <c r="Z46" s="235">
        <v>0.42</v>
      </c>
      <c r="AA46" s="235"/>
      <c r="AB46" s="235"/>
      <c r="AC46" s="235">
        <v>2.35</v>
      </c>
      <c r="AD46" s="235" t="s">
        <v>341</v>
      </c>
      <c r="AE46" s="235">
        <v>28</v>
      </c>
      <c r="AF46" s="235">
        <v>0.18</v>
      </c>
      <c r="AG46" s="235">
        <v>300</v>
      </c>
      <c r="AH46" s="235">
        <v>4006927</v>
      </c>
      <c r="AI46" s="235"/>
      <c r="AJ46" s="235"/>
      <c r="AK46" s="235" t="s">
        <v>689</v>
      </c>
      <c r="AL46" s="235" t="s">
        <v>597</v>
      </c>
      <c r="AM46" s="235">
        <v>5.6738549999999996</v>
      </c>
      <c r="AN46" s="235"/>
      <c r="AO46" s="235" t="s">
        <v>340</v>
      </c>
      <c r="AP46" s="235"/>
      <c r="AQ46" s="235">
        <v>1113035</v>
      </c>
      <c r="AR46" s="235"/>
      <c r="AS46" s="235"/>
      <c r="AT46" s="235"/>
      <c r="AU46" s="235"/>
      <c r="AV46" s="235"/>
      <c r="AW46" s="235">
        <v>473040</v>
      </c>
      <c r="AX46" s="235"/>
      <c r="AY46" s="235">
        <v>9460800</v>
      </c>
      <c r="AZ46" s="235">
        <v>31536000</v>
      </c>
      <c r="BA46" s="235"/>
      <c r="BB46" s="235">
        <v>0.12</v>
      </c>
      <c r="BC46" s="235"/>
      <c r="BD46" s="235">
        <v>34.9</v>
      </c>
      <c r="BE46" s="241"/>
    </row>
    <row r="47" spans="1:57">
      <c r="A47" s="236" t="s">
        <v>562</v>
      </c>
      <c r="B47" s="235" t="s">
        <v>428</v>
      </c>
      <c r="C47" s="235">
        <v>1996</v>
      </c>
      <c r="D47" s="235"/>
      <c r="E47" s="235">
        <v>1996</v>
      </c>
      <c r="F47" s="235" t="s">
        <v>109</v>
      </c>
      <c r="G47" s="235" t="s">
        <v>160</v>
      </c>
      <c r="H47" s="235">
        <v>400</v>
      </c>
      <c r="I47" s="235">
        <v>1</v>
      </c>
      <c r="J47" s="235"/>
      <c r="K47" s="235"/>
      <c r="L47" s="235"/>
      <c r="M47" s="235"/>
      <c r="N47" s="235">
        <v>10</v>
      </c>
      <c r="O47" s="235"/>
      <c r="P47" s="235">
        <v>2.8</v>
      </c>
      <c r="Q47" s="235">
        <v>304007</v>
      </c>
      <c r="R47" s="235"/>
      <c r="S47" s="235">
        <v>0.61</v>
      </c>
      <c r="T47" s="235"/>
      <c r="U47" s="235">
        <v>20</v>
      </c>
      <c r="V47" s="235"/>
      <c r="W47" s="235"/>
      <c r="X47" s="235">
        <v>11.4</v>
      </c>
      <c r="Y47" s="235"/>
      <c r="Z47" s="235">
        <v>0.32</v>
      </c>
      <c r="AA47" s="235"/>
      <c r="AB47" s="235"/>
      <c r="AC47" s="235">
        <v>1.75</v>
      </c>
      <c r="AD47" s="235" t="s">
        <v>341</v>
      </c>
      <c r="AE47" s="235">
        <v>31</v>
      </c>
      <c r="AF47" s="235">
        <v>0.18</v>
      </c>
      <c r="AG47" s="235">
        <v>400</v>
      </c>
      <c r="AH47" s="235">
        <v>3983495</v>
      </c>
      <c r="AI47" s="235"/>
      <c r="AJ47" s="235"/>
      <c r="AK47" s="235" t="s">
        <v>689</v>
      </c>
      <c r="AL47" s="235" t="s">
        <v>597</v>
      </c>
      <c r="AM47" s="235">
        <v>5.6738549999999996</v>
      </c>
      <c r="AN47" s="235"/>
      <c r="AO47" s="235" t="s">
        <v>340</v>
      </c>
      <c r="AP47" s="235"/>
      <c r="AQ47" s="235">
        <v>1106526</v>
      </c>
      <c r="AR47" s="235"/>
      <c r="AS47" s="235"/>
      <c r="AT47" s="235"/>
      <c r="AU47" s="235"/>
      <c r="AV47" s="235"/>
      <c r="AW47" s="235">
        <v>630720</v>
      </c>
      <c r="AX47" s="235"/>
      <c r="AY47" s="235">
        <v>12614400</v>
      </c>
      <c r="AZ47" s="235">
        <v>31536000</v>
      </c>
      <c r="BA47" s="235"/>
      <c r="BB47" s="235">
        <v>0.09</v>
      </c>
      <c r="BC47" s="235"/>
      <c r="BD47" s="235">
        <v>24.1</v>
      </c>
      <c r="BE47" s="241"/>
    </row>
    <row r="48" spans="1:57">
      <c r="A48" s="236" t="s">
        <v>562</v>
      </c>
      <c r="B48" s="235" t="s">
        <v>428</v>
      </c>
      <c r="C48" s="235">
        <v>1996</v>
      </c>
      <c r="D48" s="235"/>
      <c r="E48" s="235">
        <v>1996</v>
      </c>
      <c r="F48" s="235" t="s">
        <v>109</v>
      </c>
      <c r="G48" s="235" t="s">
        <v>212</v>
      </c>
      <c r="H48" s="235">
        <v>1000</v>
      </c>
      <c r="I48" s="235">
        <v>1</v>
      </c>
      <c r="J48" s="235" t="s">
        <v>350</v>
      </c>
      <c r="K48" s="235"/>
      <c r="L48" s="235"/>
      <c r="M48" s="235">
        <v>55</v>
      </c>
      <c r="N48" s="235"/>
      <c r="O48" s="235"/>
      <c r="P48" s="235"/>
      <c r="Q48" s="235">
        <v>713064</v>
      </c>
      <c r="R48" s="235"/>
      <c r="S48" s="235">
        <v>0.48</v>
      </c>
      <c r="T48" s="235"/>
      <c r="U48" s="235">
        <v>20</v>
      </c>
      <c r="V48" s="235"/>
      <c r="W48" s="235"/>
      <c r="X48" s="235"/>
      <c r="Y48" s="235"/>
      <c r="Z48" s="235"/>
      <c r="AA48" s="235"/>
      <c r="AB48" s="235"/>
      <c r="AC48" s="235"/>
      <c r="AD48" s="235" t="s">
        <v>341</v>
      </c>
      <c r="AE48" s="235">
        <v>54</v>
      </c>
      <c r="AF48" s="235">
        <v>0.185</v>
      </c>
      <c r="AG48" s="235">
        <v>1000</v>
      </c>
      <c r="AH48" s="235"/>
      <c r="AI48" s="235"/>
      <c r="AJ48" s="235"/>
      <c r="AK48" s="235" t="s">
        <v>689</v>
      </c>
      <c r="AL48" s="235" t="s">
        <v>597</v>
      </c>
      <c r="AM48" s="235">
        <v>5.6738549999999996</v>
      </c>
      <c r="AN48" s="235"/>
      <c r="AO48" s="235" t="s">
        <v>340</v>
      </c>
      <c r="AP48" s="235"/>
      <c r="AQ48" s="235"/>
      <c r="AR48" s="235"/>
      <c r="AS48" s="235"/>
      <c r="AT48" s="235"/>
      <c r="AU48" s="235"/>
      <c r="AV48" s="235"/>
      <c r="AW48" s="235">
        <v>1620600</v>
      </c>
      <c r="AX48" s="235"/>
      <c r="AY48" s="235">
        <v>32412000</v>
      </c>
      <c r="AZ48" s="235">
        <v>32412000</v>
      </c>
      <c r="BA48" s="235"/>
      <c r="BB48" s="235"/>
      <c r="BC48" s="235"/>
      <c r="BD48" s="235">
        <v>22</v>
      </c>
      <c r="BE48" s="241"/>
    </row>
    <row r="49" spans="1:57">
      <c r="A49" s="236" t="s">
        <v>562</v>
      </c>
      <c r="B49" s="235" t="s">
        <v>428</v>
      </c>
      <c r="C49" s="235">
        <v>1996</v>
      </c>
      <c r="D49" s="235"/>
      <c r="E49" s="235">
        <v>1996</v>
      </c>
      <c r="F49" s="235" t="s">
        <v>109</v>
      </c>
      <c r="G49" s="235" t="s">
        <v>30</v>
      </c>
      <c r="H49" s="235">
        <v>6600</v>
      </c>
      <c r="I49" s="235">
        <v>1</v>
      </c>
      <c r="J49" s="235"/>
      <c r="K49" s="235"/>
      <c r="L49" s="235"/>
      <c r="M49" s="235"/>
      <c r="N49" s="235">
        <v>7.3</v>
      </c>
      <c r="O49" s="235"/>
      <c r="P49" s="235">
        <v>2</v>
      </c>
      <c r="Q49" s="235"/>
      <c r="R49" s="235"/>
      <c r="S49" s="235"/>
      <c r="T49" s="235"/>
      <c r="U49" s="235">
        <v>20</v>
      </c>
      <c r="V49" s="235"/>
      <c r="W49" s="235"/>
      <c r="X49" s="235">
        <v>25</v>
      </c>
      <c r="Y49" s="235"/>
      <c r="Z49" s="235">
        <v>0.14000000000000001</v>
      </c>
      <c r="AA49" s="235"/>
      <c r="AB49" s="235"/>
      <c r="AC49" s="235">
        <v>0.8</v>
      </c>
      <c r="AD49" s="235" t="s">
        <v>360</v>
      </c>
      <c r="AE49" s="235"/>
      <c r="AF49" s="235">
        <v>0.28999999999999998</v>
      </c>
      <c r="AG49" s="235">
        <v>6600</v>
      </c>
      <c r="AH49" s="235">
        <v>48287923</v>
      </c>
      <c r="AI49" s="235"/>
      <c r="AJ49" s="235"/>
      <c r="AK49" s="235" t="s">
        <v>689</v>
      </c>
      <c r="AL49" s="235" t="s">
        <v>597</v>
      </c>
      <c r="AM49" s="235">
        <v>5.6738549999999996</v>
      </c>
      <c r="AN49" s="235"/>
      <c r="AO49" s="235" t="s">
        <v>340</v>
      </c>
      <c r="AP49" s="235"/>
      <c r="AQ49" s="235">
        <v>13413312</v>
      </c>
      <c r="AR49" s="235"/>
      <c r="AS49" s="235"/>
      <c r="AT49" s="235"/>
      <c r="AU49" s="235"/>
      <c r="AV49" s="235"/>
      <c r="AW49" s="235">
        <v>16766640</v>
      </c>
      <c r="AX49" s="235"/>
      <c r="AY49" s="235">
        <v>335332800</v>
      </c>
      <c r="AZ49" s="235">
        <v>50808000</v>
      </c>
      <c r="BA49" s="235"/>
      <c r="BB49" s="235">
        <v>0.04</v>
      </c>
      <c r="BC49" s="235"/>
      <c r="BD49" s="235"/>
      <c r="BE49" s="241"/>
    </row>
    <row r="50" spans="1:57">
      <c r="A50" s="236" t="s">
        <v>562</v>
      </c>
      <c r="B50" s="235" t="s">
        <v>428</v>
      </c>
      <c r="C50" s="235">
        <v>1996</v>
      </c>
      <c r="D50" s="235"/>
      <c r="E50" s="235">
        <v>1996</v>
      </c>
      <c r="F50" s="235" t="s">
        <v>27</v>
      </c>
      <c r="G50" s="235" t="s">
        <v>365</v>
      </c>
      <c r="H50" s="235">
        <v>30</v>
      </c>
      <c r="I50" s="235">
        <v>1</v>
      </c>
      <c r="J50" s="235" t="s">
        <v>358</v>
      </c>
      <c r="K50" s="235"/>
      <c r="L50" s="235"/>
      <c r="M50" s="235">
        <v>22</v>
      </c>
      <c r="N50" s="235">
        <v>16.100000000000001</v>
      </c>
      <c r="O50" s="235"/>
      <c r="P50" s="235">
        <v>4.5</v>
      </c>
      <c r="Q50" s="235">
        <v>21592</v>
      </c>
      <c r="R50" s="235"/>
      <c r="S50" s="235">
        <v>0.72</v>
      </c>
      <c r="T50" s="235"/>
      <c r="U50" s="235">
        <v>20</v>
      </c>
      <c r="V50" s="235"/>
      <c r="W50" s="235"/>
      <c r="X50" s="235">
        <v>3.1</v>
      </c>
      <c r="Y50" s="235"/>
      <c r="Z50" s="235">
        <v>1.1599999999999999</v>
      </c>
      <c r="AA50" s="235"/>
      <c r="AB50" s="235"/>
      <c r="AC50" s="235">
        <v>6.45</v>
      </c>
      <c r="AD50" s="235" t="s">
        <v>364</v>
      </c>
      <c r="AE50" s="235">
        <v>12.5</v>
      </c>
      <c r="AF50" s="235">
        <v>7.9000000000000001E-2</v>
      </c>
      <c r="AG50" s="235">
        <v>30</v>
      </c>
      <c r="AH50" s="235">
        <v>482196</v>
      </c>
      <c r="AI50" s="235"/>
      <c r="AJ50" s="235"/>
      <c r="AK50" s="235" t="s">
        <v>689</v>
      </c>
      <c r="AL50" s="235" t="s">
        <v>597</v>
      </c>
      <c r="AM50" s="235">
        <v>5.6738549999999996</v>
      </c>
      <c r="AN50" s="235"/>
      <c r="AO50" s="235" t="s">
        <v>340</v>
      </c>
      <c r="AP50" s="235"/>
      <c r="AQ50" s="235">
        <v>133943</v>
      </c>
      <c r="AR50" s="235"/>
      <c r="AS50" s="235"/>
      <c r="AT50" s="235"/>
      <c r="AU50" s="235"/>
      <c r="AV50" s="235"/>
      <c r="AW50" s="235">
        <v>20761.2</v>
      </c>
      <c r="AX50" s="235"/>
      <c r="AY50" s="235">
        <v>415224</v>
      </c>
      <c r="AZ50" s="235">
        <v>13840800</v>
      </c>
      <c r="BA50" s="235"/>
      <c r="BB50" s="235">
        <v>0.32</v>
      </c>
      <c r="BC50" s="235"/>
      <c r="BD50" s="235">
        <v>52</v>
      </c>
      <c r="BE50" s="241"/>
    </row>
    <row r="51" spans="1:57">
      <c r="A51" s="236" t="s">
        <v>562</v>
      </c>
      <c r="B51" s="235" t="s">
        <v>428</v>
      </c>
      <c r="C51" s="235">
        <v>1996</v>
      </c>
      <c r="D51" s="235"/>
      <c r="E51" s="235">
        <v>1996</v>
      </c>
      <c r="F51" s="235" t="s">
        <v>27</v>
      </c>
      <c r="G51" s="235" t="s">
        <v>212</v>
      </c>
      <c r="H51" s="235">
        <v>100</v>
      </c>
      <c r="I51" s="235">
        <v>1</v>
      </c>
      <c r="J51" s="235" t="s">
        <v>350</v>
      </c>
      <c r="K51" s="235"/>
      <c r="L51" s="235"/>
      <c r="M51" s="235">
        <v>30</v>
      </c>
      <c r="N51" s="235">
        <v>23.9</v>
      </c>
      <c r="O51" s="235"/>
      <c r="P51" s="235">
        <v>6.6</v>
      </c>
      <c r="Q51" s="235">
        <v>93522</v>
      </c>
      <c r="R51" s="235"/>
      <c r="S51" s="235">
        <v>0.62</v>
      </c>
      <c r="T51" s="235"/>
      <c r="U51" s="235">
        <v>20</v>
      </c>
      <c r="V51" s="235"/>
      <c r="W51" s="235"/>
      <c r="X51" s="235">
        <v>8.3000000000000007</v>
      </c>
      <c r="Y51" s="235"/>
      <c r="Z51" s="235">
        <v>0.43</v>
      </c>
      <c r="AA51" s="235"/>
      <c r="AB51" s="235"/>
      <c r="AC51" s="235">
        <v>2.41</v>
      </c>
      <c r="AD51" s="235" t="s">
        <v>341</v>
      </c>
      <c r="AE51" s="235">
        <v>20</v>
      </c>
      <c r="AF51" s="235">
        <v>0.314</v>
      </c>
      <c r="AG51" s="235">
        <v>100</v>
      </c>
      <c r="AH51" s="235">
        <v>2386097</v>
      </c>
      <c r="AI51" s="235"/>
      <c r="AJ51" s="235"/>
      <c r="AK51" s="235" t="s">
        <v>689</v>
      </c>
      <c r="AL51" s="235" t="s">
        <v>597</v>
      </c>
      <c r="AM51" s="235">
        <v>5.6738549999999996</v>
      </c>
      <c r="AN51" s="235"/>
      <c r="AO51" s="235" t="s">
        <v>340</v>
      </c>
      <c r="AP51" s="235"/>
      <c r="AQ51" s="235">
        <v>662805</v>
      </c>
      <c r="AR51" s="235"/>
      <c r="AS51" s="235"/>
      <c r="AT51" s="235"/>
      <c r="AU51" s="235"/>
      <c r="AV51" s="235"/>
      <c r="AW51" s="235">
        <v>275064</v>
      </c>
      <c r="AX51" s="235"/>
      <c r="AY51" s="235">
        <v>5501280</v>
      </c>
      <c r="AZ51" s="235">
        <v>55012800</v>
      </c>
      <c r="BA51" s="235"/>
      <c r="BB51" s="235">
        <v>0.12</v>
      </c>
      <c r="BC51" s="235"/>
      <c r="BD51" s="235">
        <v>17</v>
      </c>
      <c r="BE51" s="241"/>
    </row>
    <row r="52" spans="1:57">
      <c r="A52" s="236" t="s">
        <v>562</v>
      </c>
      <c r="B52" s="235" t="s">
        <v>428</v>
      </c>
      <c r="C52" s="235">
        <v>1996</v>
      </c>
      <c r="D52" s="235"/>
      <c r="E52" s="235">
        <v>1996</v>
      </c>
      <c r="F52" s="235" t="s">
        <v>27</v>
      </c>
      <c r="G52" s="235" t="s">
        <v>365</v>
      </c>
      <c r="H52" s="235">
        <v>150</v>
      </c>
      <c r="I52" s="235">
        <v>1</v>
      </c>
      <c r="J52" s="235" t="s">
        <v>350</v>
      </c>
      <c r="K52" s="235"/>
      <c r="L52" s="235"/>
      <c r="M52" s="235">
        <v>30</v>
      </c>
      <c r="N52" s="235">
        <v>9.6</v>
      </c>
      <c r="O52" s="235"/>
      <c r="P52" s="235">
        <v>2.7</v>
      </c>
      <c r="Q52" s="235">
        <v>55924</v>
      </c>
      <c r="R52" s="235"/>
      <c r="S52" s="235">
        <v>0.34</v>
      </c>
      <c r="T52" s="235"/>
      <c r="U52" s="235">
        <v>20</v>
      </c>
      <c r="V52" s="235"/>
      <c r="W52" s="235"/>
      <c r="X52" s="235">
        <v>5</v>
      </c>
      <c r="Y52" s="235"/>
      <c r="Z52" s="235">
        <v>0.72</v>
      </c>
      <c r="AA52" s="235"/>
      <c r="AB52" s="235"/>
      <c r="AC52" s="235">
        <v>4</v>
      </c>
      <c r="AD52" s="235" t="s">
        <v>364</v>
      </c>
      <c r="AE52" s="235">
        <v>23.8</v>
      </c>
      <c r="AF52" s="235">
        <v>7.5999999999999998E-2</v>
      </c>
      <c r="AG52" s="235">
        <v>150</v>
      </c>
      <c r="AH52" s="235">
        <v>1438042</v>
      </c>
      <c r="AI52" s="235"/>
      <c r="AJ52" s="235"/>
      <c r="AK52" s="235" t="s">
        <v>689</v>
      </c>
      <c r="AL52" s="235" t="s">
        <v>597</v>
      </c>
      <c r="AM52" s="235">
        <v>5.6738549999999996</v>
      </c>
      <c r="AN52" s="235"/>
      <c r="AO52" s="235" t="s">
        <v>340</v>
      </c>
      <c r="AP52" s="235"/>
      <c r="AQ52" s="235">
        <v>399456</v>
      </c>
      <c r="AR52" s="235"/>
      <c r="AS52" s="235"/>
      <c r="AT52" s="235"/>
      <c r="AU52" s="235"/>
      <c r="AV52" s="235"/>
      <c r="AW52" s="235">
        <v>99864</v>
      </c>
      <c r="AX52" s="235"/>
      <c r="AY52" s="235">
        <v>1997280</v>
      </c>
      <c r="AZ52" s="235">
        <v>13315200</v>
      </c>
      <c r="BA52" s="235"/>
      <c r="BB52" s="235">
        <v>0.2</v>
      </c>
      <c r="BC52" s="235"/>
      <c r="BD52" s="235">
        <v>28</v>
      </c>
      <c r="BE52" s="241"/>
    </row>
    <row r="53" spans="1:57">
      <c r="A53" s="236" t="s">
        <v>562</v>
      </c>
      <c r="B53" s="235" t="s">
        <v>428</v>
      </c>
      <c r="C53" s="235">
        <v>1996</v>
      </c>
      <c r="D53" s="235"/>
      <c r="E53" s="235">
        <v>1996</v>
      </c>
      <c r="F53" s="235" t="s">
        <v>27</v>
      </c>
      <c r="G53" s="235" t="s">
        <v>212</v>
      </c>
      <c r="H53" s="235">
        <v>1000</v>
      </c>
      <c r="I53" s="235">
        <v>1</v>
      </c>
      <c r="J53" s="235" t="s">
        <v>350</v>
      </c>
      <c r="K53" s="235"/>
      <c r="L53" s="235"/>
      <c r="M53" s="235">
        <v>55</v>
      </c>
      <c r="N53" s="235"/>
      <c r="O53" s="235"/>
      <c r="P53" s="235"/>
      <c r="Q53" s="235">
        <v>453768</v>
      </c>
      <c r="R53" s="235"/>
      <c r="S53" s="235">
        <v>0.45</v>
      </c>
      <c r="T53" s="235"/>
      <c r="U53" s="235">
        <v>20</v>
      </c>
      <c r="V53" s="235"/>
      <c r="W53" s="235"/>
      <c r="X53" s="235"/>
      <c r="Y53" s="235"/>
      <c r="Z53" s="235"/>
      <c r="AA53" s="235"/>
      <c r="AB53" s="235"/>
      <c r="AC53" s="235"/>
      <c r="AD53" s="235" t="s">
        <v>341</v>
      </c>
      <c r="AE53" s="235">
        <v>54</v>
      </c>
      <c r="AF53" s="235">
        <v>0.185</v>
      </c>
      <c r="AG53" s="235">
        <v>1000</v>
      </c>
      <c r="AH53" s="235"/>
      <c r="AI53" s="235"/>
      <c r="AJ53" s="235"/>
      <c r="AK53" s="235" t="s">
        <v>689</v>
      </c>
      <c r="AL53" s="235" t="s">
        <v>597</v>
      </c>
      <c r="AM53" s="235">
        <v>5.6738549999999996</v>
      </c>
      <c r="AN53" s="235"/>
      <c r="AO53" s="235" t="s">
        <v>340</v>
      </c>
      <c r="AP53" s="235"/>
      <c r="AQ53" s="235"/>
      <c r="AR53" s="235"/>
      <c r="AS53" s="235"/>
      <c r="AT53" s="235"/>
      <c r="AU53" s="235"/>
      <c r="AV53" s="235"/>
      <c r="AW53" s="235">
        <v>1620600</v>
      </c>
      <c r="AX53" s="235"/>
      <c r="AY53" s="235">
        <v>32412000</v>
      </c>
      <c r="AZ53" s="235">
        <v>32412000</v>
      </c>
      <c r="BA53" s="235"/>
      <c r="BB53" s="235"/>
      <c r="BC53" s="235"/>
      <c r="BD53" s="235">
        <v>14</v>
      </c>
      <c r="BE53" s="241"/>
    </row>
    <row r="54" spans="1:57">
      <c r="A54" s="236" t="s">
        <v>562</v>
      </c>
      <c r="B54" s="235" t="s">
        <v>428</v>
      </c>
      <c r="C54" s="235">
        <v>1996</v>
      </c>
      <c r="D54" s="235"/>
      <c r="E54" s="235">
        <v>1996</v>
      </c>
      <c r="F54" s="235" t="s">
        <v>27</v>
      </c>
      <c r="G54" s="235" t="s">
        <v>212</v>
      </c>
      <c r="H54" s="235">
        <v>1000</v>
      </c>
      <c r="I54" s="235">
        <v>1</v>
      </c>
      <c r="J54" s="235" t="s">
        <v>350</v>
      </c>
      <c r="K54" s="235"/>
      <c r="L54" s="235"/>
      <c r="M54" s="235">
        <v>50</v>
      </c>
      <c r="N54" s="235">
        <v>8</v>
      </c>
      <c r="O54" s="235"/>
      <c r="P54" s="235">
        <v>2.2000000000000002</v>
      </c>
      <c r="Q54" s="235">
        <v>634224</v>
      </c>
      <c r="R54" s="235"/>
      <c r="S54" s="235">
        <v>0.42</v>
      </c>
      <c r="T54" s="235"/>
      <c r="U54" s="235">
        <v>20</v>
      </c>
      <c r="V54" s="235"/>
      <c r="W54" s="235"/>
      <c r="X54" s="235">
        <v>28.6</v>
      </c>
      <c r="Y54" s="235"/>
      <c r="Z54" s="235">
        <v>0.13</v>
      </c>
      <c r="AA54" s="235"/>
      <c r="AB54" s="235"/>
      <c r="AC54" s="235">
        <v>0.7</v>
      </c>
      <c r="AD54" s="235" t="s">
        <v>341</v>
      </c>
      <c r="AE54" s="235">
        <v>60</v>
      </c>
      <c r="AF54" s="235">
        <v>0.36199999999999999</v>
      </c>
      <c r="AG54" s="235">
        <v>1000</v>
      </c>
      <c r="AH54" s="235">
        <v>7983239</v>
      </c>
      <c r="AI54" s="235"/>
      <c r="AJ54" s="235"/>
      <c r="AK54" s="235" t="s">
        <v>689</v>
      </c>
      <c r="AL54" s="235" t="s">
        <v>597</v>
      </c>
      <c r="AM54" s="235">
        <v>5.6738549999999996</v>
      </c>
      <c r="AN54" s="235"/>
      <c r="AO54" s="235" t="s">
        <v>356</v>
      </c>
      <c r="AP54" s="235"/>
      <c r="AQ54" s="235">
        <v>2217566</v>
      </c>
      <c r="AR54" s="235"/>
      <c r="AS54" s="235"/>
      <c r="AT54" s="235"/>
      <c r="AU54" s="235"/>
      <c r="AV54" s="235"/>
      <c r="AW54" s="235">
        <v>3171120</v>
      </c>
      <c r="AX54" s="235"/>
      <c r="AY54" s="235">
        <v>63422400</v>
      </c>
      <c r="AZ54" s="235">
        <v>63422400</v>
      </c>
      <c r="BA54" s="235"/>
      <c r="BB54" s="235">
        <v>0.03</v>
      </c>
      <c r="BC54" s="235"/>
      <c r="BD54" s="235">
        <v>10</v>
      </c>
      <c r="BE54" s="241"/>
    </row>
    <row r="55" spans="1:57">
      <c r="A55" s="236" t="s">
        <v>618</v>
      </c>
      <c r="B55" s="235" t="s">
        <v>435</v>
      </c>
      <c r="C55" s="235">
        <v>1996</v>
      </c>
      <c r="D55" s="235"/>
      <c r="E55" s="235">
        <v>1996</v>
      </c>
      <c r="F55" s="235"/>
      <c r="G55" s="235"/>
      <c r="H55" s="235">
        <v>6600</v>
      </c>
      <c r="I55" s="235">
        <v>1</v>
      </c>
      <c r="J55" s="235"/>
      <c r="K55" s="235"/>
      <c r="L55" s="235" t="s">
        <v>24</v>
      </c>
      <c r="M55" s="235"/>
      <c r="N55" s="235"/>
      <c r="O55" s="235"/>
      <c r="P55" s="235"/>
      <c r="Q55" s="235">
        <v>4044114</v>
      </c>
      <c r="R55" s="235"/>
      <c r="S55" s="235">
        <v>0.61</v>
      </c>
      <c r="T55" s="235"/>
      <c r="U55" s="235">
        <v>20</v>
      </c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>
        <v>0.28999999999999998</v>
      </c>
      <c r="AG55" s="235">
        <v>6600</v>
      </c>
      <c r="AH55" s="235"/>
      <c r="AI55" s="235"/>
      <c r="AJ55" s="235"/>
      <c r="AK55" s="235" t="s">
        <v>598</v>
      </c>
      <c r="AL55" s="235" t="s">
        <v>597</v>
      </c>
      <c r="AM55" s="235">
        <v>5.6738549999999996</v>
      </c>
      <c r="AN55" s="235"/>
      <c r="AO55" s="235"/>
      <c r="AP55" s="235"/>
      <c r="AQ55" s="235"/>
      <c r="AR55" s="235"/>
      <c r="AS55" s="235"/>
      <c r="AT55" s="235"/>
      <c r="AU55" s="235"/>
      <c r="AV55" s="235"/>
      <c r="AW55" s="235">
        <v>16766640</v>
      </c>
      <c r="AX55" s="235"/>
      <c r="AY55" s="235">
        <v>335332800</v>
      </c>
      <c r="AZ55" s="235">
        <v>50808000</v>
      </c>
      <c r="BA55" s="235"/>
      <c r="BB55" s="235"/>
      <c r="BC55" s="235"/>
      <c r="BD55" s="235">
        <v>12.06</v>
      </c>
      <c r="BE55" s="241"/>
    </row>
    <row r="56" spans="1:57">
      <c r="A56" s="236" t="s">
        <v>618</v>
      </c>
      <c r="B56" s="235" t="s">
        <v>435</v>
      </c>
      <c r="C56" s="235">
        <v>1996</v>
      </c>
      <c r="D56" s="235"/>
      <c r="E56" s="235">
        <v>1996</v>
      </c>
      <c r="F56" s="235"/>
      <c r="G56" s="235"/>
      <c r="H56" s="235">
        <v>6600</v>
      </c>
      <c r="I56" s="235">
        <v>1</v>
      </c>
      <c r="J56" s="235"/>
      <c r="K56" s="235"/>
      <c r="L56" s="235" t="s">
        <v>24</v>
      </c>
      <c r="M56" s="235"/>
      <c r="N56" s="235"/>
      <c r="O56" s="235"/>
      <c r="P56" s="235"/>
      <c r="Q56" s="235">
        <v>7575168</v>
      </c>
      <c r="R56" s="235"/>
      <c r="S56" s="235">
        <v>1.1499999999999999</v>
      </c>
      <c r="T56" s="235"/>
      <c r="U56" s="235">
        <v>20</v>
      </c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>
        <v>0.28999999999999998</v>
      </c>
      <c r="AG56" s="235">
        <v>6600</v>
      </c>
      <c r="AH56" s="235"/>
      <c r="AI56" s="235"/>
      <c r="AJ56" s="235"/>
      <c r="AK56" s="235" t="s">
        <v>598</v>
      </c>
      <c r="AL56" s="235" t="s">
        <v>597</v>
      </c>
      <c r="AM56" s="235">
        <v>5.6738549999999996</v>
      </c>
      <c r="AN56" s="235"/>
      <c r="AO56" s="235"/>
      <c r="AP56" s="235"/>
      <c r="AQ56" s="235"/>
      <c r="AR56" s="235"/>
      <c r="AS56" s="235"/>
      <c r="AT56" s="235"/>
      <c r="AU56" s="235"/>
      <c r="AV56" s="235"/>
      <c r="AW56" s="235">
        <v>16766640</v>
      </c>
      <c r="AX56" s="235"/>
      <c r="AY56" s="235">
        <v>335332800</v>
      </c>
      <c r="AZ56" s="235">
        <v>50808000</v>
      </c>
      <c r="BA56" s="235"/>
      <c r="BB56" s="235"/>
      <c r="BC56" s="235"/>
      <c r="BD56" s="235">
        <v>22.59</v>
      </c>
      <c r="BE56" s="241"/>
    </row>
    <row r="57" spans="1:57">
      <c r="A57" s="236" t="s">
        <v>618</v>
      </c>
      <c r="B57" s="235" t="s">
        <v>435</v>
      </c>
      <c r="C57" s="235">
        <v>1996</v>
      </c>
      <c r="D57" s="235"/>
      <c r="E57" s="235">
        <v>1996</v>
      </c>
      <c r="F57" s="235"/>
      <c r="G57" s="235"/>
      <c r="H57" s="235">
        <v>6600</v>
      </c>
      <c r="I57" s="235">
        <v>1</v>
      </c>
      <c r="J57" s="235"/>
      <c r="K57" s="235"/>
      <c r="L57" s="235" t="s">
        <v>24</v>
      </c>
      <c r="M57" s="235"/>
      <c r="N57" s="235"/>
      <c r="O57" s="235"/>
      <c r="P57" s="235"/>
      <c r="Q57" s="235">
        <v>11612575</v>
      </c>
      <c r="R57" s="235"/>
      <c r="S57" s="235">
        <v>1.76</v>
      </c>
      <c r="T57" s="235"/>
      <c r="U57" s="235">
        <v>20</v>
      </c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>
        <v>0.28999999999999998</v>
      </c>
      <c r="AG57" s="235">
        <v>6600</v>
      </c>
      <c r="AH57" s="235"/>
      <c r="AI57" s="235"/>
      <c r="AJ57" s="235"/>
      <c r="AK57" s="235" t="s">
        <v>598</v>
      </c>
      <c r="AL57" s="235" t="s">
        <v>597</v>
      </c>
      <c r="AM57" s="235">
        <v>5.6738549999999996</v>
      </c>
      <c r="AN57" s="235"/>
      <c r="AO57" s="235"/>
      <c r="AP57" s="235"/>
      <c r="AQ57" s="235"/>
      <c r="AR57" s="235"/>
      <c r="AS57" s="235"/>
      <c r="AT57" s="235"/>
      <c r="AU57" s="235"/>
      <c r="AV57" s="235"/>
      <c r="AW57" s="235">
        <v>16766640</v>
      </c>
      <c r="AX57" s="235"/>
      <c r="AY57" s="235">
        <v>335332800</v>
      </c>
      <c r="AZ57" s="235">
        <v>50808000</v>
      </c>
      <c r="BA57" s="235"/>
      <c r="BB57" s="235"/>
      <c r="BC57" s="235"/>
      <c r="BD57" s="235">
        <v>34.630000000000003</v>
      </c>
      <c r="BE57" s="241"/>
    </row>
    <row r="58" spans="1:57">
      <c r="A58" s="236" t="s">
        <v>611</v>
      </c>
      <c r="B58" s="235" t="s">
        <v>440</v>
      </c>
      <c r="C58" s="235">
        <v>1996</v>
      </c>
      <c r="D58" s="235"/>
      <c r="E58" s="235">
        <v>1996</v>
      </c>
      <c r="F58" s="235"/>
      <c r="G58" s="235"/>
      <c r="H58" s="235">
        <v>400</v>
      </c>
      <c r="I58" s="235">
        <v>1</v>
      </c>
      <c r="J58" s="235"/>
      <c r="K58" s="235"/>
      <c r="L58" s="235" t="s">
        <v>24</v>
      </c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>
        <v>0.2</v>
      </c>
      <c r="AG58" s="235">
        <v>400</v>
      </c>
      <c r="AH58" s="235"/>
      <c r="AI58" s="235"/>
      <c r="AJ58" s="235"/>
      <c r="AK58" s="235" t="s">
        <v>598</v>
      </c>
      <c r="AL58" s="235" t="s">
        <v>597</v>
      </c>
      <c r="AM58" s="235">
        <v>5.6738549999999996</v>
      </c>
      <c r="AN58" s="235"/>
      <c r="AO58" s="235"/>
      <c r="AP58" s="235"/>
      <c r="AQ58" s="235"/>
      <c r="AR58" s="235"/>
      <c r="AS58" s="235"/>
      <c r="AT58" s="235"/>
      <c r="AU58" s="235"/>
      <c r="AV58" s="235"/>
      <c r="AW58" s="235">
        <v>700800</v>
      </c>
      <c r="AX58" s="235"/>
      <c r="AY58" s="235"/>
      <c r="AZ58" s="235"/>
      <c r="BA58" s="235"/>
      <c r="BB58" s="235"/>
      <c r="BC58" s="235"/>
      <c r="BD58" s="235">
        <v>24.05</v>
      </c>
      <c r="BE58" s="241"/>
    </row>
    <row r="59" spans="1:57">
      <c r="A59" s="236" t="s">
        <v>611</v>
      </c>
      <c r="B59" s="235" t="s">
        <v>440</v>
      </c>
      <c r="C59" s="235">
        <v>1996</v>
      </c>
      <c r="D59" s="235"/>
      <c r="E59" s="235">
        <v>1996</v>
      </c>
      <c r="F59" s="235"/>
      <c r="G59" s="235"/>
      <c r="H59" s="235">
        <v>300</v>
      </c>
      <c r="I59" s="235">
        <v>1</v>
      </c>
      <c r="J59" s="235"/>
      <c r="K59" s="235"/>
      <c r="L59" s="235" t="s">
        <v>24</v>
      </c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>
        <v>0.2</v>
      </c>
      <c r="AG59" s="235">
        <v>300</v>
      </c>
      <c r="AH59" s="235"/>
      <c r="AI59" s="235"/>
      <c r="AJ59" s="235"/>
      <c r="AK59" s="235" t="s">
        <v>598</v>
      </c>
      <c r="AL59" s="235" t="s">
        <v>597</v>
      </c>
      <c r="AM59" s="235">
        <v>5.6738549999999996</v>
      </c>
      <c r="AN59" s="235"/>
      <c r="AO59" s="235"/>
      <c r="AP59" s="235"/>
      <c r="AQ59" s="235"/>
      <c r="AR59" s="235"/>
      <c r="AS59" s="235"/>
      <c r="AT59" s="235"/>
      <c r="AU59" s="235"/>
      <c r="AV59" s="235"/>
      <c r="AW59" s="235">
        <v>525600</v>
      </c>
      <c r="AX59" s="235"/>
      <c r="AY59" s="235"/>
      <c r="AZ59" s="235"/>
      <c r="BA59" s="235"/>
      <c r="BB59" s="235"/>
      <c r="BC59" s="235"/>
      <c r="BD59" s="235">
        <v>34.869999999999997</v>
      </c>
      <c r="BE59" s="241"/>
    </row>
    <row r="60" spans="1:57">
      <c r="A60" s="236" t="s">
        <v>610</v>
      </c>
      <c r="B60" s="235" t="s">
        <v>441</v>
      </c>
      <c r="C60" s="235">
        <v>1996</v>
      </c>
      <c r="D60" s="235"/>
      <c r="E60" s="235">
        <v>1996</v>
      </c>
      <c r="F60" s="235"/>
      <c r="G60" s="235"/>
      <c r="H60" s="235">
        <v>300</v>
      </c>
      <c r="I60" s="235">
        <v>1</v>
      </c>
      <c r="J60" s="235"/>
      <c r="K60" s="235"/>
      <c r="L60" s="235" t="s">
        <v>24</v>
      </c>
      <c r="M60" s="235"/>
      <c r="N60" s="235"/>
      <c r="O60" s="235"/>
      <c r="P60" s="235"/>
      <c r="Q60" s="235">
        <v>132000</v>
      </c>
      <c r="R60" s="235"/>
      <c r="S60" s="235">
        <v>0.44</v>
      </c>
      <c r="T60" s="235"/>
      <c r="U60" s="235">
        <v>20</v>
      </c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>
        <v>0.228310502</v>
      </c>
      <c r="AG60" s="235">
        <v>300</v>
      </c>
      <c r="AH60" s="235"/>
      <c r="AI60" s="235"/>
      <c r="AJ60" s="235"/>
      <c r="AK60" s="235" t="s">
        <v>598</v>
      </c>
      <c r="AL60" s="235" t="s">
        <v>597</v>
      </c>
      <c r="AM60" s="235">
        <v>5.6738549999999996</v>
      </c>
      <c r="AN60" s="235"/>
      <c r="AO60" s="235"/>
      <c r="AP60" s="235"/>
      <c r="AQ60" s="235"/>
      <c r="AR60" s="235"/>
      <c r="AS60" s="235"/>
      <c r="AT60" s="235"/>
      <c r="AU60" s="235"/>
      <c r="AV60" s="235"/>
      <c r="AW60" s="235">
        <v>600000</v>
      </c>
      <c r="AX60" s="235"/>
      <c r="AY60" s="235">
        <v>12000000</v>
      </c>
      <c r="AZ60" s="235">
        <v>40000000</v>
      </c>
      <c r="BA60" s="235"/>
      <c r="BB60" s="235"/>
      <c r="BC60" s="235"/>
      <c r="BD60" s="235">
        <v>11</v>
      </c>
      <c r="BE60" s="241"/>
    </row>
    <row r="61" spans="1:57">
      <c r="A61" s="236" t="s">
        <v>562</v>
      </c>
      <c r="B61" s="235" t="s">
        <v>428</v>
      </c>
      <c r="C61" s="235">
        <v>1997</v>
      </c>
      <c r="D61" s="235">
        <v>1980</v>
      </c>
      <c r="E61" s="235">
        <v>1980</v>
      </c>
      <c r="F61" s="235" t="s">
        <v>109</v>
      </c>
      <c r="G61" s="235" t="s">
        <v>205</v>
      </c>
      <c r="H61" s="235">
        <v>15</v>
      </c>
      <c r="I61" s="235">
        <v>1</v>
      </c>
      <c r="J61" s="235">
        <v>1980</v>
      </c>
      <c r="K61" s="235"/>
      <c r="L61" s="235"/>
      <c r="M61" s="235">
        <v>18</v>
      </c>
      <c r="N61" s="235">
        <v>15.6</v>
      </c>
      <c r="O61" s="235"/>
      <c r="P61" s="235">
        <v>4.3</v>
      </c>
      <c r="Q61" s="235"/>
      <c r="R61" s="235"/>
      <c r="S61" s="235"/>
      <c r="T61" s="235"/>
      <c r="U61" s="235">
        <v>20</v>
      </c>
      <c r="V61" s="235"/>
      <c r="W61" s="235"/>
      <c r="X61" s="235">
        <v>8.3000000000000007</v>
      </c>
      <c r="Y61" s="235"/>
      <c r="Z61" s="235">
        <v>0.43</v>
      </c>
      <c r="AA61" s="235"/>
      <c r="AB61" s="235"/>
      <c r="AC61" s="235">
        <v>2.41</v>
      </c>
      <c r="AD61" s="235" t="s">
        <v>341</v>
      </c>
      <c r="AE61" s="235">
        <v>10</v>
      </c>
      <c r="AF61" s="235">
        <v>0.20499999999999999</v>
      </c>
      <c r="AG61" s="235">
        <v>15</v>
      </c>
      <c r="AH61" s="235">
        <v>233670</v>
      </c>
      <c r="AI61" s="235"/>
      <c r="AJ61" s="235"/>
      <c r="AK61" s="235" t="s">
        <v>689</v>
      </c>
      <c r="AL61" s="235" t="s">
        <v>597</v>
      </c>
      <c r="AM61" s="235"/>
      <c r="AN61" s="235"/>
      <c r="AO61" s="235" t="s">
        <v>340</v>
      </c>
      <c r="AP61" s="235"/>
      <c r="AQ61" s="235">
        <v>64908</v>
      </c>
      <c r="AR61" s="235"/>
      <c r="AS61" s="235"/>
      <c r="AT61" s="235"/>
      <c r="AU61" s="235"/>
      <c r="AV61" s="235"/>
      <c r="AW61" s="235">
        <v>26937</v>
      </c>
      <c r="AX61" s="235"/>
      <c r="AY61" s="235">
        <v>538740</v>
      </c>
      <c r="AZ61" s="235">
        <v>35916000</v>
      </c>
      <c r="BA61" s="235"/>
      <c r="BB61" s="235">
        <v>0.12</v>
      </c>
      <c r="BC61" s="235"/>
      <c r="BD61" s="235"/>
      <c r="BE61" s="241"/>
    </row>
    <row r="62" spans="1:57">
      <c r="A62" s="236" t="s">
        <v>562</v>
      </c>
      <c r="B62" s="235" t="s">
        <v>428</v>
      </c>
      <c r="C62" s="235">
        <v>1997</v>
      </c>
      <c r="D62" s="235">
        <v>1980</v>
      </c>
      <c r="E62" s="235">
        <v>1980</v>
      </c>
      <c r="F62" s="235" t="s">
        <v>109</v>
      </c>
      <c r="G62" s="235" t="s">
        <v>205</v>
      </c>
      <c r="H62" s="235">
        <v>22</v>
      </c>
      <c r="I62" s="235">
        <v>1</v>
      </c>
      <c r="J62" s="235">
        <v>1980</v>
      </c>
      <c r="K62" s="235"/>
      <c r="L62" s="235"/>
      <c r="M62" s="235">
        <v>18</v>
      </c>
      <c r="N62" s="235">
        <v>15.5</v>
      </c>
      <c r="O62" s="235"/>
      <c r="P62" s="235">
        <v>4.3</v>
      </c>
      <c r="Q62" s="235"/>
      <c r="R62" s="235"/>
      <c r="S62" s="235"/>
      <c r="T62" s="235"/>
      <c r="U62" s="235">
        <v>20</v>
      </c>
      <c r="V62" s="235"/>
      <c r="W62" s="235"/>
      <c r="X62" s="235">
        <v>8.1</v>
      </c>
      <c r="Y62" s="235"/>
      <c r="Z62" s="235">
        <v>0.44</v>
      </c>
      <c r="AA62" s="235"/>
      <c r="AB62" s="235"/>
      <c r="AC62" s="235">
        <v>2.4700000000000002</v>
      </c>
      <c r="AD62" s="235" t="s">
        <v>341</v>
      </c>
      <c r="AE62" s="235">
        <v>10.5</v>
      </c>
      <c r="AF62" s="235">
        <v>0.19900000000000001</v>
      </c>
      <c r="AG62" s="235">
        <v>22</v>
      </c>
      <c r="AH62" s="235">
        <v>340900</v>
      </c>
      <c r="AI62" s="235"/>
      <c r="AJ62" s="235"/>
      <c r="AK62" s="235" t="s">
        <v>689</v>
      </c>
      <c r="AL62" s="235" t="s">
        <v>597</v>
      </c>
      <c r="AM62" s="235"/>
      <c r="AN62" s="235"/>
      <c r="AO62" s="235" t="s">
        <v>340</v>
      </c>
      <c r="AP62" s="235"/>
      <c r="AQ62" s="235">
        <v>94695</v>
      </c>
      <c r="AR62" s="235"/>
      <c r="AS62" s="235"/>
      <c r="AT62" s="235"/>
      <c r="AU62" s="235"/>
      <c r="AV62" s="235"/>
      <c r="AW62" s="235">
        <v>38351.279999999999</v>
      </c>
      <c r="AX62" s="235"/>
      <c r="AY62" s="235">
        <v>767025.6</v>
      </c>
      <c r="AZ62" s="235">
        <v>34864800</v>
      </c>
      <c r="BA62" s="235"/>
      <c r="BB62" s="235">
        <v>0.12</v>
      </c>
      <c r="BC62" s="235"/>
      <c r="BD62" s="235"/>
      <c r="BE62" s="241"/>
    </row>
    <row r="63" spans="1:57">
      <c r="A63" s="236" t="s">
        <v>562</v>
      </c>
      <c r="B63" s="235" t="s">
        <v>428</v>
      </c>
      <c r="C63" s="235">
        <v>1997</v>
      </c>
      <c r="D63" s="235">
        <v>1980</v>
      </c>
      <c r="E63" s="235">
        <v>1980</v>
      </c>
      <c r="F63" s="235" t="s">
        <v>109</v>
      </c>
      <c r="G63" s="235" t="s">
        <v>205</v>
      </c>
      <c r="H63" s="235">
        <v>30</v>
      </c>
      <c r="I63" s="235">
        <v>1</v>
      </c>
      <c r="J63" s="235">
        <v>1980</v>
      </c>
      <c r="K63" s="235"/>
      <c r="L63" s="235"/>
      <c r="M63" s="235">
        <v>19</v>
      </c>
      <c r="N63" s="235">
        <v>12</v>
      </c>
      <c r="O63" s="235"/>
      <c r="P63" s="235">
        <v>3.3</v>
      </c>
      <c r="Q63" s="235"/>
      <c r="R63" s="235"/>
      <c r="S63" s="235"/>
      <c r="T63" s="235"/>
      <c r="U63" s="235">
        <v>20</v>
      </c>
      <c r="V63" s="235"/>
      <c r="W63" s="235"/>
      <c r="X63" s="235">
        <v>10</v>
      </c>
      <c r="Y63" s="235"/>
      <c r="Z63" s="235">
        <v>0.36</v>
      </c>
      <c r="AA63" s="235"/>
      <c r="AB63" s="235"/>
      <c r="AC63" s="235">
        <v>2</v>
      </c>
      <c r="AD63" s="235" t="s">
        <v>341</v>
      </c>
      <c r="AE63" s="235">
        <v>11</v>
      </c>
      <c r="AF63" s="235">
        <v>0.19</v>
      </c>
      <c r="AG63" s="235">
        <v>30</v>
      </c>
      <c r="AH63" s="235">
        <v>359510</v>
      </c>
      <c r="AI63" s="235"/>
      <c r="AJ63" s="235"/>
      <c r="AK63" s="235" t="s">
        <v>689</v>
      </c>
      <c r="AL63" s="235" t="s">
        <v>597</v>
      </c>
      <c r="AM63" s="235"/>
      <c r="AN63" s="235"/>
      <c r="AO63" s="235" t="s">
        <v>340</v>
      </c>
      <c r="AP63" s="235"/>
      <c r="AQ63" s="235">
        <v>99864</v>
      </c>
      <c r="AR63" s="235"/>
      <c r="AS63" s="235"/>
      <c r="AT63" s="235"/>
      <c r="AU63" s="235"/>
      <c r="AV63" s="235"/>
      <c r="AW63" s="235">
        <v>49932</v>
      </c>
      <c r="AX63" s="235"/>
      <c r="AY63" s="235">
        <v>998640</v>
      </c>
      <c r="AZ63" s="235">
        <v>33288000</v>
      </c>
      <c r="BA63" s="235"/>
      <c r="BB63" s="235">
        <v>0.1</v>
      </c>
      <c r="BC63" s="235"/>
      <c r="BD63" s="235"/>
      <c r="BE63" s="241"/>
    </row>
    <row r="64" spans="1:57">
      <c r="A64" s="236" t="s">
        <v>562</v>
      </c>
      <c r="B64" s="235" t="s">
        <v>428</v>
      </c>
      <c r="C64" s="235">
        <v>1997</v>
      </c>
      <c r="D64" s="235">
        <v>1980</v>
      </c>
      <c r="E64" s="235">
        <v>1980</v>
      </c>
      <c r="F64" s="235" t="s">
        <v>109</v>
      </c>
      <c r="G64" s="235" t="s">
        <v>205</v>
      </c>
      <c r="H64" s="235">
        <v>55</v>
      </c>
      <c r="I64" s="235">
        <v>1</v>
      </c>
      <c r="J64" s="235">
        <v>1980</v>
      </c>
      <c r="K64" s="235"/>
      <c r="L64" s="235"/>
      <c r="M64" s="235">
        <v>20</v>
      </c>
      <c r="N64" s="235">
        <v>8.5</v>
      </c>
      <c r="O64" s="235"/>
      <c r="P64" s="235">
        <v>2.4</v>
      </c>
      <c r="Q64" s="235"/>
      <c r="R64" s="235"/>
      <c r="S64" s="235"/>
      <c r="T64" s="235"/>
      <c r="U64" s="235">
        <v>20</v>
      </c>
      <c r="V64" s="235"/>
      <c r="W64" s="235"/>
      <c r="X64" s="235">
        <v>15.2</v>
      </c>
      <c r="Y64" s="235"/>
      <c r="Z64" s="235">
        <v>0.24</v>
      </c>
      <c r="AA64" s="235"/>
      <c r="AB64" s="235"/>
      <c r="AC64" s="235">
        <v>1.32</v>
      </c>
      <c r="AD64" s="235" t="s">
        <v>341</v>
      </c>
      <c r="AE64" s="235">
        <v>16</v>
      </c>
      <c r="AF64" s="235">
        <v>0.20599999999999999</v>
      </c>
      <c r="AG64" s="235">
        <v>55</v>
      </c>
      <c r="AH64" s="235">
        <v>470135</v>
      </c>
      <c r="AI64" s="235"/>
      <c r="AJ64" s="235"/>
      <c r="AK64" s="235" t="s">
        <v>689</v>
      </c>
      <c r="AL64" s="235" t="s">
        <v>597</v>
      </c>
      <c r="AM64" s="235"/>
      <c r="AN64" s="235"/>
      <c r="AO64" s="235" t="s">
        <v>340</v>
      </c>
      <c r="AP64" s="235"/>
      <c r="AQ64" s="235">
        <v>130593</v>
      </c>
      <c r="AR64" s="235"/>
      <c r="AS64" s="235"/>
      <c r="AT64" s="235"/>
      <c r="AU64" s="235"/>
      <c r="AV64" s="235"/>
      <c r="AW64" s="235">
        <v>99250.8</v>
      </c>
      <c r="AX64" s="235"/>
      <c r="AY64" s="235">
        <v>1985016</v>
      </c>
      <c r="AZ64" s="235">
        <v>36091200</v>
      </c>
      <c r="BA64" s="235"/>
      <c r="BB64" s="235">
        <v>7.0000000000000007E-2</v>
      </c>
      <c r="BC64" s="235"/>
      <c r="BD64" s="235"/>
      <c r="BE64" s="241"/>
    </row>
    <row r="65" spans="1:57">
      <c r="A65" s="236" t="s">
        <v>562</v>
      </c>
      <c r="B65" s="235" t="s">
        <v>428</v>
      </c>
      <c r="C65" s="235">
        <v>1997</v>
      </c>
      <c r="D65" s="235"/>
      <c r="E65" s="235">
        <v>1997</v>
      </c>
      <c r="F65" s="235" t="s">
        <v>109</v>
      </c>
      <c r="G65" s="235" t="s">
        <v>205</v>
      </c>
      <c r="H65" s="235">
        <v>600</v>
      </c>
      <c r="I65" s="235">
        <v>1</v>
      </c>
      <c r="J65" s="235" t="s">
        <v>350</v>
      </c>
      <c r="K65" s="235"/>
      <c r="L65" s="235"/>
      <c r="M65" s="235">
        <v>50</v>
      </c>
      <c r="N65" s="235">
        <v>6.2</v>
      </c>
      <c r="O65" s="235"/>
      <c r="P65" s="235">
        <v>1.7</v>
      </c>
      <c r="Q65" s="235"/>
      <c r="R65" s="235"/>
      <c r="S65" s="235"/>
      <c r="T65" s="235"/>
      <c r="U65" s="235">
        <v>20</v>
      </c>
      <c r="V65" s="235"/>
      <c r="W65" s="235"/>
      <c r="X65" s="235">
        <v>27</v>
      </c>
      <c r="Y65" s="235"/>
      <c r="Z65" s="235">
        <v>0.13</v>
      </c>
      <c r="AA65" s="235"/>
      <c r="AB65" s="235"/>
      <c r="AC65" s="235">
        <v>0.74</v>
      </c>
      <c r="AD65" s="235" t="s">
        <v>352</v>
      </c>
      <c r="AE65" s="235">
        <v>47</v>
      </c>
      <c r="AF65" s="235">
        <v>0.26500000000000001</v>
      </c>
      <c r="AG65" s="235">
        <v>600</v>
      </c>
      <c r="AH65" s="235">
        <v>3714240</v>
      </c>
      <c r="AI65" s="235"/>
      <c r="AJ65" s="235"/>
      <c r="AK65" s="235" t="s">
        <v>689</v>
      </c>
      <c r="AL65" s="235" t="s">
        <v>597</v>
      </c>
      <c r="AM65" s="235">
        <v>6.7157</v>
      </c>
      <c r="AN65" s="235"/>
      <c r="AO65" s="235" t="s">
        <v>340</v>
      </c>
      <c r="AP65" s="235"/>
      <c r="AQ65" s="235">
        <v>1031733</v>
      </c>
      <c r="AR65" s="235"/>
      <c r="AS65" s="235"/>
      <c r="AT65" s="235"/>
      <c r="AU65" s="235"/>
      <c r="AV65" s="235"/>
      <c r="AW65" s="235">
        <v>1392840</v>
      </c>
      <c r="AX65" s="235"/>
      <c r="AY65" s="235">
        <v>27856800</v>
      </c>
      <c r="AZ65" s="235">
        <v>46428000</v>
      </c>
      <c r="BA65" s="235"/>
      <c r="BB65" s="235">
        <v>0.04</v>
      </c>
      <c r="BC65" s="235"/>
      <c r="BD65" s="235"/>
      <c r="BE65" s="241"/>
    </row>
    <row r="66" spans="1:57">
      <c r="A66" s="236" t="s">
        <v>562</v>
      </c>
      <c r="B66" s="235" t="s">
        <v>428</v>
      </c>
      <c r="C66" s="235">
        <v>1997</v>
      </c>
      <c r="D66" s="235"/>
      <c r="E66" s="235">
        <v>1997</v>
      </c>
      <c r="F66" s="235" t="s">
        <v>109</v>
      </c>
      <c r="G66" s="235" t="s">
        <v>205</v>
      </c>
      <c r="H66" s="235">
        <v>1500</v>
      </c>
      <c r="I66" s="235">
        <v>1</v>
      </c>
      <c r="J66" s="235" t="s">
        <v>350</v>
      </c>
      <c r="K66" s="235"/>
      <c r="L66" s="235" t="s">
        <v>31</v>
      </c>
      <c r="M66" s="235">
        <v>55</v>
      </c>
      <c r="N66" s="235">
        <v>7.3</v>
      </c>
      <c r="O66" s="235"/>
      <c r="P66" s="235">
        <v>2</v>
      </c>
      <c r="Q66" s="235"/>
      <c r="R66" s="235"/>
      <c r="S66" s="235"/>
      <c r="T66" s="235"/>
      <c r="U66" s="235">
        <v>20</v>
      </c>
      <c r="V66" s="235"/>
      <c r="W66" s="235"/>
      <c r="X66" s="235">
        <v>33.299999999999997</v>
      </c>
      <c r="Y66" s="235"/>
      <c r="Z66" s="235">
        <v>0.11</v>
      </c>
      <c r="AA66" s="235"/>
      <c r="AB66" s="235"/>
      <c r="AC66" s="235">
        <v>0.6</v>
      </c>
      <c r="AD66" s="235" t="s">
        <v>341</v>
      </c>
      <c r="AE66" s="235">
        <v>64</v>
      </c>
      <c r="AF66" s="235">
        <v>0.38400000000000001</v>
      </c>
      <c r="AG66" s="235">
        <v>1500</v>
      </c>
      <c r="AH66" s="235">
        <v>10909751</v>
      </c>
      <c r="AI66" s="235"/>
      <c r="AJ66" s="235"/>
      <c r="AK66" s="235" t="s">
        <v>689</v>
      </c>
      <c r="AL66" s="235" t="s">
        <v>597</v>
      </c>
      <c r="AM66" s="235">
        <v>6.7157</v>
      </c>
      <c r="AN66" s="235"/>
      <c r="AO66" s="235" t="s">
        <v>356</v>
      </c>
      <c r="AP66" s="235"/>
      <c r="AQ66" s="235">
        <v>3030486</v>
      </c>
      <c r="AR66" s="235"/>
      <c r="AS66" s="235"/>
      <c r="AT66" s="235"/>
      <c r="AU66" s="235"/>
      <c r="AV66" s="235"/>
      <c r="AW66" s="235">
        <v>5045760</v>
      </c>
      <c r="AX66" s="235"/>
      <c r="AY66" s="235">
        <v>100915200</v>
      </c>
      <c r="AZ66" s="235">
        <v>67276800</v>
      </c>
      <c r="BA66" s="235"/>
      <c r="BB66" s="235">
        <v>0.03</v>
      </c>
      <c r="BC66" s="235"/>
      <c r="BD66" s="235"/>
      <c r="BE66" s="241"/>
    </row>
    <row r="67" spans="1:57">
      <c r="A67" s="236" t="s">
        <v>562</v>
      </c>
      <c r="B67" s="235" t="s">
        <v>428</v>
      </c>
      <c r="C67" s="235">
        <v>1997</v>
      </c>
      <c r="D67" s="235"/>
      <c r="E67" s="235">
        <v>1997</v>
      </c>
      <c r="F67" s="235" t="s">
        <v>27</v>
      </c>
      <c r="G67" s="235" t="s">
        <v>205</v>
      </c>
      <c r="H67" s="235">
        <v>400</v>
      </c>
      <c r="I67" s="235">
        <v>1</v>
      </c>
      <c r="J67" s="235"/>
      <c r="K67" s="235"/>
      <c r="L67" s="235"/>
      <c r="M67" s="235"/>
      <c r="N67" s="235">
        <v>2.9</v>
      </c>
      <c r="O67" s="235"/>
      <c r="P67" s="235">
        <v>0.8</v>
      </c>
      <c r="Q67" s="235">
        <v>254054</v>
      </c>
      <c r="R67" s="235"/>
      <c r="S67" s="235">
        <v>0.56000000000000005</v>
      </c>
      <c r="T67" s="235"/>
      <c r="U67" s="235">
        <v>20</v>
      </c>
      <c r="V67" s="235"/>
      <c r="W67" s="235"/>
      <c r="X67" s="235">
        <v>50</v>
      </c>
      <c r="Y67" s="235"/>
      <c r="Z67" s="235">
        <v>7.0000000000000007E-2</v>
      </c>
      <c r="AA67" s="235"/>
      <c r="AB67" s="235"/>
      <c r="AC67" s="235">
        <v>0.4</v>
      </c>
      <c r="AD67" s="235" t="s">
        <v>368</v>
      </c>
      <c r="AE67" s="235"/>
      <c r="AF67" s="235">
        <v>0.22800000000000001</v>
      </c>
      <c r="AG67" s="235">
        <v>400</v>
      </c>
      <c r="AH67" s="235">
        <v>1150433</v>
      </c>
      <c r="AI67" s="235"/>
      <c r="AJ67" s="235"/>
      <c r="AK67" s="235" t="s">
        <v>689</v>
      </c>
      <c r="AL67" s="235" t="s">
        <v>597</v>
      </c>
      <c r="AM67" s="235">
        <v>6.7157</v>
      </c>
      <c r="AN67" s="235"/>
      <c r="AO67" s="235" t="s">
        <v>340</v>
      </c>
      <c r="AP67" s="235"/>
      <c r="AQ67" s="235">
        <v>319565</v>
      </c>
      <c r="AR67" s="235"/>
      <c r="AS67" s="235"/>
      <c r="AT67" s="235"/>
      <c r="AU67" s="235"/>
      <c r="AV67" s="235"/>
      <c r="AW67" s="235">
        <v>798912</v>
      </c>
      <c r="AX67" s="235"/>
      <c r="AY67" s="235">
        <v>15978240</v>
      </c>
      <c r="AZ67" s="235">
        <v>39945600</v>
      </c>
      <c r="BA67" s="235"/>
      <c r="BB67" s="235">
        <v>0.02</v>
      </c>
      <c r="BC67" s="235"/>
      <c r="BD67" s="235">
        <v>15.9</v>
      </c>
      <c r="BE67" s="241"/>
    </row>
    <row r="68" spans="1:57">
      <c r="A68" s="236" t="s">
        <v>632</v>
      </c>
      <c r="B68" s="235" t="s">
        <v>422</v>
      </c>
      <c r="C68" s="235">
        <v>1997</v>
      </c>
      <c r="D68" s="235"/>
      <c r="E68" s="235">
        <v>1997</v>
      </c>
      <c r="F68" s="235"/>
      <c r="G68" s="235"/>
      <c r="H68" s="235">
        <v>1000</v>
      </c>
      <c r="I68" s="235">
        <v>1</v>
      </c>
      <c r="J68" s="235"/>
      <c r="K68" s="235"/>
      <c r="L68" s="235" t="s">
        <v>24</v>
      </c>
      <c r="M68" s="235"/>
      <c r="N68" s="235"/>
      <c r="O68" s="235"/>
      <c r="P68" s="235"/>
      <c r="Q68" s="235">
        <v>462761</v>
      </c>
      <c r="R68" s="235"/>
      <c r="S68" s="235">
        <v>0.46</v>
      </c>
      <c r="T68" s="235"/>
      <c r="U68" s="235">
        <v>20</v>
      </c>
      <c r="V68" s="235"/>
      <c r="W68" s="235"/>
      <c r="X68" s="235"/>
      <c r="Y68" s="235"/>
      <c r="Z68" s="235"/>
      <c r="AA68" s="235"/>
      <c r="AB68" s="235"/>
      <c r="AC68" s="235"/>
      <c r="AD68" s="235"/>
      <c r="AE68" s="235"/>
      <c r="AF68" s="235">
        <v>0.185</v>
      </c>
      <c r="AG68" s="235">
        <v>1000</v>
      </c>
      <c r="AH68" s="235"/>
      <c r="AI68" s="235"/>
      <c r="AJ68" s="235"/>
      <c r="AK68" s="235" t="s">
        <v>598</v>
      </c>
      <c r="AL68" s="235" t="s">
        <v>597</v>
      </c>
      <c r="AM68" s="235">
        <v>6.7157</v>
      </c>
      <c r="AN68" s="235"/>
      <c r="AO68" s="235"/>
      <c r="AP68" s="235"/>
      <c r="AQ68" s="235"/>
      <c r="AR68" s="235"/>
      <c r="AS68" s="235"/>
      <c r="AT68" s="235"/>
      <c r="AU68" s="235"/>
      <c r="AV68" s="235"/>
      <c r="AW68" s="235">
        <v>1620600</v>
      </c>
      <c r="AX68" s="235"/>
      <c r="AY68" s="235">
        <v>32412000</v>
      </c>
      <c r="AZ68" s="235">
        <v>32412000</v>
      </c>
      <c r="BA68" s="235"/>
      <c r="BB68" s="235"/>
      <c r="BC68" s="235"/>
      <c r="BD68" s="235">
        <v>14.28</v>
      </c>
      <c r="BE68" s="241"/>
    </row>
    <row r="69" spans="1:57">
      <c r="A69" s="236" t="s">
        <v>632</v>
      </c>
      <c r="B69" s="235" t="s">
        <v>422</v>
      </c>
      <c r="C69" s="235">
        <v>1997</v>
      </c>
      <c r="D69" s="235"/>
      <c r="E69" s="235">
        <v>1997</v>
      </c>
      <c r="F69" s="235"/>
      <c r="G69" s="235"/>
      <c r="H69" s="235">
        <v>1000</v>
      </c>
      <c r="I69" s="235">
        <v>1</v>
      </c>
      <c r="J69" s="235"/>
      <c r="K69" s="235"/>
      <c r="L69" s="235" t="s">
        <v>24</v>
      </c>
      <c r="M69" s="235"/>
      <c r="N69" s="235"/>
      <c r="O69" s="235"/>
      <c r="P69" s="235"/>
      <c r="Q69" s="235">
        <v>714804</v>
      </c>
      <c r="R69" s="235"/>
      <c r="S69" s="235">
        <v>0.71</v>
      </c>
      <c r="T69" s="235"/>
      <c r="U69" s="235">
        <v>20</v>
      </c>
      <c r="V69" s="235"/>
      <c r="W69" s="235"/>
      <c r="X69" s="235"/>
      <c r="Y69" s="235"/>
      <c r="Z69" s="235"/>
      <c r="AA69" s="235"/>
      <c r="AB69" s="235"/>
      <c r="AC69" s="235"/>
      <c r="AD69" s="235"/>
      <c r="AE69" s="235"/>
      <c r="AF69" s="235">
        <v>0.185</v>
      </c>
      <c r="AG69" s="235">
        <v>1000</v>
      </c>
      <c r="AH69" s="235"/>
      <c r="AI69" s="235"/>
      <c r="AJ69" s="235"/>
      <c r="AK69" s="235" t="s">
        <v>598</v>
      </c>
      <c r="AL69" s="235" t="s">
        <v>597</v>
      </c>
      <c r="AM69" s="235">
        <v>6.7157</v>
      </c>
      <c r="AN69" s="235"/>
      <c r="AO69" s="235"/>
      <c r="AP69" s="235"/>
      <c r="AQ69" s="235"/>
      <c r="AR69" s="235"/>
      <c r="AS69" s="235"/>
      <c r="AT69" s="235"/>
      <c r="AU69" s="235"/>
      <c r="AV69" s="235"/>
      <c r="AW69" s="235">
        <v>1620600</v>
      </c>
      <c r="AX69" s="235"/>
      <c r="AY69" s="235">
        <v>32412000</v>
      </c>
      <c r="AZ69" s="235">
        <v>32412000</v>
      </c>
      <c r="BA69" s="235"/>
      <c r="BB69" s="235"/>
      <c r="BC69" s="235"/>
      <c r="BD69" s="235">
        <v>22.05</v>
      </c>
      <c r="BE69" s="241"/>
    </row>
    <row r="70" spans="1:57">
      <c r="A70" s="236" t="s">
        <v>629</v>
      </c>
      <c r="B70" s="235" t="s">
        <v>426</v>
      </c>
      <c r="C70" s="235">
        <v>1997</v>
      </c>
      <c r="D70" s="235"/>
      <c r="E70" s="235">
        <v>1997</v>
      </c>
      <c r="F70" s="235"/>
      <c r="G70" s="235"/>
      <c r="H70" s="235">
        <v>250</v>
      </c>
      <c r="I70" s="235">
        <v>1</v>
      </c>
      <c r="J70" s="235"/>
      <c r="K70" s="235"/>
      <c r="L70" s="235" t="s">
        <v>24</v>
      </c>
      <c r="M70" s="235"/>
      <c r="N70" s="235"/>
      <c r="O70" s="235"/>
      <c r="P70" s="235"/>
      <c r="Q70" s="235">
        <v>75393</v>
      </c>
      <c r="R70" s="235"/>
      <c r="S70" s="235">
        <v>0.3</v>
      </c>
      <c r="T70" s="235"/>
      <c r="U70" s="235">
        <v>20</v>
      </c>
      <c r="V70" s="235"/>
      <c r="W70" s="235"/>
      <c r="X70" s="235"/>
      <c r="Y70" s="235"/>
      <c r="Z70" s="235"/>
      <c r="AA70" s="235"/>
      <c r="AB70" s="235"/>
      <c r="AC70" s="235"/>
      <c r="AD70" s="235"/>
      <c r="AE70" s="235"/>
      <c r="AF70" s="235">
        <v>0.246575342</v>
      </c>
      <c r="AG70" s="235">
        <v>250</v>
      </c>
      <c r="AH70" s="235"/>
      <c r="AI70" s="235"/>
      <c r="AJ70" s="235"/>
      <c r="AK70" s="235" t="s">
        <v>598</v>
      </c>
      <c r="AL70" s="235" t="s">
        <v>597</v>
      </c>
      <c r="AM70" s="235">
        <v>6.7157</v>
      </c>
      <c r="AN70" s="235"/>
      <c r="AO70" s="235"/>
      <c r="AP70" s="235"/>
      <c r="AQ70" s="235"/>
      <c r="AR70" s="235"/>
      <c r="AS70" s="235"/>
      <c r="AT70" s="235"/>
      <c r="AU70" s="235"/>
      <c r="AV70" s="235"/>
      <c r="AW70" s="235">
        <v>540000</v>
      </c>
      <c r="AX70" s="235"/>
      <c r="AY70" s="235">
        <v>10800000</v>
      </c>
      <c r="AZ70" s="235">
        <v>43200000</v>
      </c>
      <c r="BA70" s="235"/>
      <c r="BB70" s="235"/>
      <c r="BC70" s="235"/>
      <c r="BD70" s="235">
        <v>6.98</v>
      </c>
      <c r="BE70" s="241"/>
    </row>
    <row r="71" spans="1:57">
      <c r="A71" s="236" t="s">
        <v>628</v>
      </c>
      <c r="B71" s="235" t="s">
        <v>448</v>
      </c>
      <c r="C71" s="235">
        <v>1997</v>
      </c>
      <c r="D71" s="235"/>
      <c r="E71" s="235">
        <v>1997</v>
      </c>
      <c r="F71" s="235"/>
      <c r="G71" s="235"/>
      <c r="H71" s="235">
        <v>2000</v>
      </c>
      <c r="I71" s="235">
        <v>1</v>
      </c>
      <c r="J71" s="235"/>
      <c r="K71" s="235"/>
      <c r="L71" s="235" t="s">
        <v>456</v>
      </c>
      <c r="M71" s="235"/>
      <c r="N71" s="235"/>
      <c r="O71" s="235"/>
      <c r="P71" s="235"/>
      <c r="Q71" s="235">
        <v>625000</v>
      </c>
      <c r="R71" s="235"/>
      <c r="S71" s="235">
        <v>0.31</v>
      </c>
      <c r="T71" s="235"/>
      <c r="U71" s="235">
        <v>25</v>
      </c>
      <c r="V71" s="235"/>
      <c r="W71" s="235"/>
      <c r="X71" s="235"/>
      <c r="Y71" s="235"/>
      <c r="Z71" s="235"/>
      <c r="AA71" s="235"/>
      <c r="AB71" s="235"/>
      <c r="AC71" s="235"/>
      <c r="AD71" s="235"/>
      <c r="AE71" s="235"/>
      <c r="AF71" s="235">
        <v>0.28538812800000002</v>
      </c>
      <c r="AG71" s="235">
        <v>2000</v>
      </c>
      <c r="AH71" s="235"/>
      <c r="AI71" s="235"/>
      <c r="AJ71" s="235"/>
      <c r="AK71" s="235" t="s">
        <v>598</v>
      </c>
      <c r="AL71" s="235" t="s">
        <v>597</v>
      </c>
      <c r="AM71" s="235">
        <v>6.7157</v>
      </c>
      <c r="AN71" s="235"/>
      <c r="AO71" s="235"/>
      <c r="AP71" s="235"/>
      <c r="AQ71" s="235"/>
      <c r="AR71" s="235"/>
      <c r="AS71" s="235"/>
      <c r="AT71" s="235"/>
      <c r="AU71" s="235"/>
      <c r="AV71" s="235"/>
      <c r="AW71" s="235">
        <v>5000000</v>
      </c>
      <c r="AX71" s="235"/>
      <c r="AY71" s="235">
        <v>125000000</v>
      </c>
      <c r="AZ71" s="235">
        <v>62500000</v>
      </c>
      <c r="BA71" s="235"/>
      <c r="BB71" s="235"/>
      <c r="BC71" s="235"/>
      <c r="BD71" s="235">
        <v>5</v>
      </c>
      <c r="BE71" s="241"/>
    </row>
    <row r="72" spans="1:57">
      <c r="A72" s="236" t="s">
        <v>627</v>
      </c>
      <c r="B72" s="235" t="s">
        <v>427</v>
      </c>
      <c r="C72" s="235">
        <v>1997</v>
      </c>
      <c r="D72" s="235"/>
      <c r="E72" s="235">
        <v>1997</v>
      </c>
      <c r="F72" s="235"/>
      <c r="G72" s="235"/>
      <c r="H72" s="235">
        <v>400</v>
      </c>
      <c r="I72" s="235">
        <v>1</v>
      </c>
      <c r="J72" s="235"/>
      <c r="K72" s="235"/>
      <c r="L72" s="235" t="s">
        <v>24</v>
      </c>
      <c r="M72" s="235"/>
      <c r="N72" s="235"/>
      <c r="O72" s="235"/>
      <c r="P72" s="235"/>
      <c r="Q72" s="235">
        <v>192000</v>
      </c>
      <c r="R72" s="235"/>
      <c r="S72" s="235">
        <v>0.48</v>
      </c>
      <c r="T72" s="235"/>
      <c r="U72" s="235">
        <v>20</v>
      </c>
      <c r="V72" s="235"/>
      <c r="W72" s="235"/>
      <c r="X72" s="235"/>
      <c r="Y72" s="235"/>
      <c r="Z72" s="235"/>
      <c r="AA72" s="235"/>
      <c r="AB72" s="235"/>
      <c r="AC72" s="235"/>
      <c r="AD72" s="235"/>
      <c r="AE72" s="235"/>
      <c r="AF72" s="235">
        <v>0.228310502</v>
      </c>
      <c r="AG72" s="235">
        <v>400</v>
      </c>
      <c r="AH72" s="235"/>
      <c r="AI72" s="235"/>
      <c r="AJ72" s="235"/>
      <c r="AK72" s="235" t="s">
        <v>598</v>
      </c>
      <c r="AL72" s="235" t="s">
        <v>597</v>
      </c>
      <c r="AM72" s="235">
        <v>6.7157</v>
      </c>
      <c r="AN72" s="235"/>
      <c r="AO72" s="235"/>
      <c r="AP72" s="235"/>
      <c r="AQ72" s="235"/>
      <c r="AR72" s="235"/>
      <c r="AS72" s="235"/>
      <c r="AT72" s="235"/>
      <c r="AU72" s="235"/>
      <c r="AV72" s="235"/>
      <c r="AW72" s="235">
        <v>800000</v>
      </c>
      <c r="AX72" s="235"/>
      <c r="AY72" s="235">
        <v>16000000</v>
      </c>
      <c r="AZ72" s="235">
        <v>40000000</v>
      </c>
      <c r="BA72" s="235"/>
      <c r="BB72" s="235"/>
      <c r="BC72" s="235"/>
      <c r="BD72" s="235">
        <v>12</v>
      </c>
      <c r="BE72" s="241"/>
    </row>
    <row r="73" spans="1:57">
      <c r="A73" s="236" t="s">
        <v>603</v>
      </c>
      <c r="B73" s="235" t="s">
        <v>443</v>
      </c>
      <c r="C73" s="235">
        <v>1997</v>
      </c>
      <c r="D73" s="235"/>
      <c r="E73" s="235">
        <v>1997</v>
      </c>
      <c r="F73" s="235"/>
      <c r="G73" s="235"/>
      <c r="H73" s="235">
        <v>150</v>
      </c>
      <c r="I73" s="235">
        <v>1</v>
      </c>
      <c r="J73" s="235"/>
      <c r="K73" s="235"/>
      <c r="L73" s="235" t="s">
        <v>24</v>
      </c>
      <c r="M73" s="235"/>
      <c r="N73" s="235"/>
      <c r="O73" s="235"/>
      <c r="P73" s="235"/>
      <c r="Q73" s="235">
        <v>34814</v>
      </c>
      <c r="R73" s="235"/>
      <c r="S73" s="235">
        <v>0.23</v>
      </c>
      <c r="T73" s="235"/>
      <c r="U73" s="235">
        <v>25</v>
      </c>
      <c r="V73" s="235"/>
      <c r="W73" s="235"/>
      <c r="X73" s="235"/>
      <c r="Y73" s="235"/>
      <c r="Z73" s="235"/>
      <c r="AA73" s="235"/>
      <c r="AB73" s="235"/>
      <c r="AC73" s="235"/>
      <c r="AD73" s="235"/>
      <c r="AE73" s="235"/>
      <c r="AF73" s="235">
        <v>0.23394779900000001</v>
      </c>
      <c r="AG73" s="235">
        <v>150</v>
      </c>
      <c r="AH73" s="235"/>
      <c r="AI73" s="235"/>
      <c r="AJ73" s="235"/>
      <c r="AK73" s="235" t="s">
        <v>598</v>
      </c>
      <c r="AL73" s="235" t="s">
        <v>597</v>
      </c>
      <c r="AM73" s="235">
        <v>6.7157</v>
      </c>
      <c r="AN73" s="235"/>
      <c r="AO73" s="235"/>
      <c r="AP73" s="235"/>
      <c r="AQ73" s="235"/>
      <c r="AR73" s="235"/>
      <c r="AS73" s="235"/>
      <c r="AT73" s="235"/>
      <c r="AU73" s="235"/>
      <c r="AV73" s="235"/>
      <c r="AW73" s="235">
        <v>307407.40740740701</v>
      </c>
      <c r="AX73" s="235"/>
      <c r="AY73" s="235">
        <v>7685185.1851851903</v>
      </c>
      <c r="AZ73" s="235">
        <v>51234567.901234597</v>
      </c>
      <c r="BA73" s="235"/>
      <c r="BB73" s="235"/>
      <c r="BC73" s="235"/>
      <c r="BD73" s="235">
        <v>4.53</v>
      </c>
      <c r="BE73" s="241"/>
    </row>
    <row r="74" spans="1:57">
      <c r="A74" s="236" t="s">
        <v>562</v>
      </c>
      <c r="B74" s="235" t="s">
        <v>428</v>
      </c>
      <c r="C74" s="235">
        <v>1998</v>
      </c>
      <c r="D74" s="235"/>
      <c r="E74" s="235">
        <v>1998</v>
      </c>
      <c r="F74" s="235" t="s">
        <v>109</v>
      </c>
      <c r="G74" s="235" t="s">
        <v>212</v>
      </c>
      <c r="H74" s="235">
        <v>500</v>
      </c>
      <c r="I74" s="235">
        <v>1</v>
      </c>
      <c r="J74" s="235" t="s">
        <v>350</v>
      </c>
      <c r="K74" s="235"/>
      <c r="L74" s="235"/>
      <c r="M74" s="235">
        <v>44</v>
      </c>
      <c r="N74" s="235">
        <v>12.1</v>
      </c>
      <c r="O74" s="235"/>
      <c r="P74" s="235">
        <v>3.4</v>
      </c>
      <c r="Q74" s="235"/>
      <c r="R74" s="235"/>
      <c r="S74" s="235"/>
      <c r="T74" s="235"/>
      <c r="U74" s="235">
        <v>20</v>
      </c>
      <c r="V74" s="235"/>
      <c r="W74" s="235"/>
      <c r="X74" s="235">
        <v>15.4</v>
      </c>
      <c r="Y74" s="235"/>
      <c r="Z74" s="235">
        <v>0.23</v>
      </c>
      <c r="AA74" s="235"/>
      <c r="AB74" s="235"/>
      <c r="AC74" s="235">
        <v>1.3</v>
      </c>
      <c r="AD74" s="235" t="s">
        <v>349</v>
      </c>
      <c r="AE74" s="235">
        <v>40.299999999999997</v>
      </c>
      <c r="AF74" s="235">
        <v>0.29599999999999999</v>
      </c>
      <c r="AG74" s="235">
        <v>500</v>
      </c>
      <c r="AH74" s="235">
        <v>6061465</v>
      </c>
      <c r="AI74" s="235"/>
      <c r="AJ74" s="235"/>
      <c r="AK74" s="235" t="s">
        <v>689</v>
      </c>
      <c r="AL74" s="235" t="s">
        <v>597</v>
      </c>
      <c r="AM74" s="235">
        <v>8.7342999999999993</v>
      </c>
      <c r="AN74" s="235"/>
      <c r="AO74" s="235" t="s">
        <v>340</v>
      </c>
      <c r="AP74" s="235"/>
      <c r="AQ74" s="235">
        <v>1683740</v>
      </c>
      <c r="AR74" s="235"/>
      <c r="AS74" s="235"/>
      <c r="AT74" s="235"/>
      <c r="AU74" s="235"/>
      <c r="AV74" s="235"/>
      <c r="AW74" s="235">
        <v>1296480</v>
      </c>
      <c r="AX74" s="235"/>
      <c r="AY74" s="235">
        <v>25929600</v>
      </c>
      <c r="AZ74" s="235">
        <v>51859200</v>
      </c>
      <c r="BA74" s="235"/>
      <c r="BB74" s="235">
        <v>0.06</v>
      </c>
      <c r="BC74" s="235"/>
      <c r="BD74" s="235"/>
      <c r="BE74" s="241"/>
    </row>
    <row r="75" spans="1:57">
      <c r="A75" s="236" t="s">
        <v>562</v>
      </c>
      <c r="B75" s="235" t="s">
        <v>428</v>
      </c>
      <c r="C75" s="235">
        <v>1998</v>
      </c>
      <c r="D75" s="235"/>
      <c r="E75" s="235">
        <v>1998</v>
      </c>
      <c r="F75" s="235" t="s">
        <v>109</v>
      </c>
      <c r="G75" s="235" t="s">
        <v>212</v>
      </c>
      <c r="H75" s="235">
        <v>1500</v>
      </c>
      <c r="I75" s="235">
        <v>1</v>
      </c>
      <c r="J75" s="235" t="s">
        <v>350</v>
      </c>
      <c r="K75" s="235"/>
      <c r="L75" s="235"/>
      <c r="M75" s="235">
        <v>67</v>
      </c>
      <c r="N75" s="235">
        <v>13.9</v>
      </c>
      <c r="O75" s="235"/>
      <c r="P75" s="235">
        <v>3.9</v>
      </c>
      <c r="Q75" s="235"/>
      <c r="R75" s="235"/>
      <c r="S75" s="235"/>
      <c r="T75" s="235"/>
      <c r="U75" s="235">
        <v>20</v>
      </c>
      <c r="V75" s="235"/>
      <c r="W75" s="235"/>
      <c r="X75" s="235">
        <v>14.1</v>
      </c>
      <c r="Y75" s="235"/>
      <c r="Z75" s="235">
        <v>0.26</v>
      </c>
      <c r="AA75" s="235"/>
      <c r="AB75" s="235"/>
      <c r="AC75" s="235">
        <v>1.42</v>
      </c>
      <c r="AD75" s="235" t="s">
        <v>349</v>
      </c>
      <c r="AE75" s="235">
        <v>66</v>
      </c>
      <c r="AF75" s="235">
        <v>0.31</v>
      </c>
      <c r="AG75" s="235">
        <v>1500</v>
      </c>
      <c r="AH75" s="235">
        <v>20800340</v>
      </c>
      <c r="AI75" s="235"/>
      <c r="AJ75" s="235"/>
      <c r="AK75" s="235" t="s">
        <v>689</v>
      </c>
      <c r="AL75" s="235" t="s">
        <v>597</v>
      </c>
      <c r="AM75" s="235">
        <v>8.7342999999999993</v>
      </c>
      <c r="AN75" s="235"/>
      <c r="AO75" s="235" t="s">
        <v>340</v>
      </c>
      <c r="AP75" s="235"/>
      <c r="AQ75" s="235">
        <v>5777872</v>
      </c>
      <c r="AR75" s="235"/>
      <c r="AS75" s="235"/>
      <c r="AT75" s="235"/>
      <c r="AU75" s="235"/>
      <c r="AV75" s="235"/>
      <c r="AW75" s="235">
        <v>4073400</v>
      </c>
      <c r="AX75" s="235"/>
      <c r="AY75" s="235">
        <v>81468000</v>
      </c>
      <c r="AZ75" s="235">
        <v>54312000</v>
      </c>
      <c r="BA75" s="235"/>
      <c r="BB75" s="235">
        <v>7.0000000000000007E-2</v>
      </c>
      <c r="BC75" s="235"/>
      <c r="BD75" s="235"/>
      <c r="BE75" s="241"/>
    </row>
    <row r="76" spans="1:57">
      <c r="A76" s="236" t="s">
        <v>562</v>
      </c>
      <c r="B76" s="235" t="s">
        <v>428</v>
      </c>
      <c r="C76" s="235">
        <v>1998</v>
      </c>
      <c r="D76" s="235"/>
      <c r="E76" s="235">
        <v>1998</v>
      </c>
      <c r="F76" s="235" t="s">
        <v>27</v>
      </c>
      <c r="G76" s="235" t="s">
        <v>363</v>
      </c>
      <c r="H76" s="235">
        <v>2.5</v>
      </c>
      <c r="I76" s="235">
        <v>1</v>
      </c>
      <c r="J76" s="235"/>
      <c r="K76" s="235"/>
      <c r="L76" s="235"/>
      <c r="M76" s="235"/>
      <c r="N76" s="235">
        <v>23.5</v>
      </c>
      <c r="O76" s="235"/>
      <c r="P76" s="235">
        <v>6.5</v>
      </c>
      <c r="Q76" s="235">
        <v>4047</v>
      </c>
      <c r="R76" s="235"/>
      <c r="S76" s="235">
        <v>0.13</v>
      </c>
      <c r="T76" s="235"/>
      <c r="U76" s="235">
        <v>20</v>
      </c>
      <c r="V76" s="235"/>
      <c r="W76" s="235"/>
      <c r="X76" s="235">
        <v>5.9</v>
      </c>
      <c r="Y76" s="235"/>
      <c r="Z76" s="235">
        <v>0.61</v>
      </c>
      <c r="AA76" s="235"/>
      <c r="AB76" s="235"/>
      <c r="AC76" s="235">
        <v>3.39</v>
      </c>
      <c r="AD76" s="235" t="s">
        <v>362</v>
      </c>
      <c r="AE76" s="235"/>
      <c r="AF76" s="235">
        <v>0.22</v>
      </c>
      <c r="AG76" s="235">
        <v>2.5</v>
      </c>
      <c r="AH76" s="235">
        <v>58796</v>
      </c>
      <c r="AI76" s="235"/>
      <c r="AJ76" s="235"/>
      <c r="AK76" s="235" t="s">
        <v>689</v>
      </c>
      <c r="AL76" s="235" t="s">
        <v>597</v>
      </c>
      <c r="AM76" s="235">
        <v>8.7342999999999993</v>
      </c>
      <c r="AN76" s="235"/>
      <c r="AO76" s="235" t="s">
        <v>356</v>
      </c>
      <c r="AP76" s="235"/>
      <c r="AQ76" s="235">
        <v>16332</v>
      </c>
      <c r="AR76" s="235"/>
      <c r="AS76" s="235"/>
      <c r="AT76" s="235"/>
      <c r="AU76" s="235"/>
      <c r="AV76" s="235"/>
      <c r="AW76" s="235">
        <v>4818</v>
      </c>
      <c r="AX76" s="235"/>
      <c r="AY76" s="235">
        <v>96360</v>
      </c>
      <c r="AZ76" s="235">
        <v>38544000</v>
      </c>
      <c r="BA76" s="235"/>
      <c r="BB76" s="235">
        <v>0.17</v>
      </c>
      <c r="BC76" s="235"/>
      <c r="BD76" s="235">
        <v>42</v>
      </c>
      <c r="BE76" s="241"/>
    </row>
    <row r="77" spans="1:57">
      <c r="A77" s="236" t="s">
        <v>562</v>
      </c>
      <c r="B77" s="235" t="s">
        <v>428</v>
      </c>
      <c r="C77" s="235">
        <v>1998</v>
      </c>
      <c r="D77" s="235"/>
      <c r="E77" s="235">
        <v>1998</v>
      </c>
      <c r="F77" s="235" t="s">
        <v>27</v>
      </c>
      <c r="G77" s="235" t="s">
        <v>363</v>
      </c>
      <c r="H77" s="235">
        <v>30</v>
      </c>
      <c r="I77" s="235">
        <v>1</v>
      </c>
      <c r="J77" s="235"/>
      <c r="K77" s="235"/>
      <c r="L77" s="235"/>
      <c r="M77" s="235"/>
      <c r="N77" s="235">
        <v>16.7</v>
      </c>
      <c r="O77" s="235"/>
      <c r="P77" s="235">
        <v>4.5999999999999996</v>
      </c>
      <c r="Q77" s="235">
        <v>33533</v>
      </c>
      <c r="R77" s="235"/>
      <c r="S77" s="235">
        <v>1.02</v>
      </c>
      <c r="T77" s="235"/>
      <c r="U77" s="235">
        <v>20</v>
      </c>
      <c r="V77" s="235"/>
      <c r="W77" s="235"/>
      <c r="X77" s="235">
        <v>8.3000000000000007</v>
      </c>
      <c r="Y77" s="235"/>
      <c r="Z77" s="235">
        <v>0.43</v>
      </c>
      <c r="AA77" s="235"/>
      <c r="AB77" s="235"/>
      <c r="AC77" s="235">
        <v>2.41</v>
      </c>
      <c r="AD77" s="235" t="s">
        <v>362</v>
      </c>
      <c r="AE77" s="235"/>
      <c r="AF77" s="235">
        <v>0.22</v>
      </c>
      <c r="AG77" s="235">
        <v>30</v>
      </c>
      <c r="AH77" s="235">
        <v>501536</v>
      </c>
      <c r="AI77" s="235"/>
      <c r="AJ77" s="235"/>
      <c r="AK77" s="235" t="s">
        <v>689</v>
      </c>
      <c r="AL77" s="235" t="s">
        <v>597</v>
      </c>
      <c r="AM77" s="235">
        <v>8.7342999999999993</v>
      </c>
      <c r="AN77" s="235"/>
      <c r="AO77" s="235" t="s">
        <v>356</v>
      </c>
      <c r="AP77" s="235"/>
      <c r="AQ77" s="235">
        <v>139316</v>
      </c>
      <c r="AR77" s="235"/>
      <c r="AS77" s="235"/>
      <c r="AT77" s="235"/>
      <c r="AU77" s="235"/>
      <c r="AV77" s="235"/>
      <c r="AW77" s="235">
        <v>57816</v>
      </c>
      <c r="AX77" s="235"/>
      <c r="AY77" s="235">
        <v>1156320</v>
      </c>
      <c r="AZ77" s="235">
        <v>38544000</v>
      </c>
      <c r="BA77" s="235"/>
      <c r="BB77" s="235">
        <v>0.12</v>
      </c>
      <c r="BC77" s="235"/>
      <c r="BD77" s="235">
        <v>29</v>
      </c>
      <c r="BE77" s="241"/>
    </row>
    <row r="78" spans="1:57">
      <c r="A78" s="236" t="s">
        <v>562</v>
      </c>
      <c r="B78" s="235" t="s">
        <v>428</v>
      </c>
      <c r="C78" s="235">
        <v>1998</v>
      </c>
      <c r="D78" s="235"/>
      <c r="E78" s="235">
        <v>1998</v>
      </c>
      <c r="F78" s="235" t="s">
        <v>27</v>
      </c>
      <c r="G78" s="235" t="s">
        <v>363</v>
      </c>
      <c r="H78" s="235">
        <v>225</v>
      </c>
      <c r="I78" s="235">
        <v>1</v>
      </c>
      <c r="J78" s="235"/>
      <c r="K78" s="235"/>
      <c r="L78" s="235"/>
      <c r="M78" s="235"/>
      <c r="N78" s="235">
        <v>11.1</v>
      </c>
      <c r="O78" s="235"/>
      <c r="P78" s="235">
        <v>3.1</v>
      </c>
      <c r="Q78" s="235">
        <v>156103</v>
      </c>
      <c r="R78" s="235"/>
      <c r="S78" s="235">
        <v>0.59</v>
      </c>
      <c r="T78" s="235"/>
      <c r="U78" s="235">
        <v>20</v>
      </c>
      <c r="V78" s="235"/>
      <c r="W78" s="235"/>
      <c r="X78" s="235">
        <v>12.5</v>
      </c>
      <c r="Y78" s="235"/>
      <c r="Z78" s="235">
        <v>0.28999999999999998</v>
      </c>
      <c r="AA78" s="235"/>
      <c r="AB78" s="235"/>
      <c r="AC78" s="235">
        <v>1.6</v>
      </c>
      <c r="AD78" s="235" t="s">
        <v>362</v>
      </c>
      <c r="AE78" s="235"/>
      <c r="AF78" s="235">
        <v>0.22</v>
      </c>
      <c r="AG78" s="235">
        <v>225</v>
      </c>
      <c r="AH78" s="235">
        <v>2497651</v>
      </c>
      <c r="AI78" s="235"/>
      <c r="AJ78" s="235"/>
      <c r="AK78" s="235" t="s">
        <v>689</v>
      </c>
      <c r="AL78" s="235" t="s">
        <v>597</v>
      </c>
      <c r="AM78" s="235">
        <v>8.7342999999999993</v>
      </c>
      <c r="AN78" s="235"/>
      <c r="AO78" s="235" t="s">
        <v>356</v>
      </c>
      <c r="AP78" s="235"/>
      <c r="AQ78" s="235">
        <v>693792</v>
      </c>
      <c r="AR78" s="235"/>
      <c r="AS78" s="235"/>
      <c r="AT78" s="235"/>
      <c r="AU78" s="235"/>
      <c r="AV78" s="235"/>
      <c r="AW78" s="235">
        <v>433620</v>
      </c>
      <c r="AX78" s="235"/>
      <c r="AY78" s="235">
        <v>8672400</v>
      </c>
      <c r="AZ78" s="235">
        <v>38544000</v>
      </c>
      <c r="BA78" s="235"/>
      <c r="BB78" s="235">
        <v>0.08</v>
      </c>
      <c r="BC78" s="235"/>
      <c r="BD78" s="235">
        <v>18</v>
      </c>
      <c r="BE78" s="241"/>
    </row>
    <row r="79" spans="1:57">
      <c r="A79" s="236" t="s">
        <v>562</v>
      </c>
      <c r="B79" s="235" t="s">
        <v>428</v>
      </c>
      <c r="C79" s="235">
        <v>1998</v>
      </c>
      <c r="D79" s="235"/>
      <c r="E79" s="235">
        <v>1998</v>
      </c>
      <c r="F79" s="235" t="s">
        <v>27</v>
      </c>
      <c r="G79" s="235" t="s">
        <v>212</v>
      </c>
      <c r="H79" s="235">
        <v>500</v>
      </c>
      <c r="I79" s="235">
        <v>1</v>
      </c>
      <c r="J79" s="235" t="s">
        <v>350</v>
      </c>
      <c r="K79" s="235"/>
      <c r="L79" s="235"/>
      <c r="M79" s="235">
        <v>44</v>
      </c>
      <c r="N79" s="235">
        <v>7.8</v>
      </c>
      <c r="O79" s="235"/>
      <c r="P79" s="235">
        <v>2.2000000000000002</v>
      </c>
      <c r="Q79" s="235"/>
      <c r="R79" s="235"/>
      <c r="S79" s="235"/>
      <c r="T79" s="235"/>
      <c r="U79" s="235">
        <v>20</v>
      </c>
      <c r="V79" s="235"/>
      <c r="W79" s="235"/>
      <c r="X79" s="235">
        <v>23.8</v>
      </c>
      <c r="Y79" s="235"/>
      <c r="Z79" s="235">
        <v>0.15</v>
      </c>
      <c r="AA79" s="235"/>
      <c r="AB79" s="235"/>
      <c r="AC79" s="235">
        <v>0.84</v>
      </c>
      <c r="AD79" s="235" t="s">
        <v>349</v>
      </c>
      <c r="AE79" s="235">
        <v>40.299999999999997</v>
      </c>
      <c r="AF79" s="235">
        <v>0.29599999999999999</v>
      </c>
      <c r="AG79" s="235">
        <v>500</v>
      </c>
      <c r="AH79" s="235">
        <v>3922124</v>
      </c>
      <c r="AI79" s="235"/>
      <c r="AJ79" s="235"/>
      <c r="AK79" s="235" t="s">
        <v>689</v>
      </c>
      <c r="AL79" s="235" t="s">
        <v>597</v>
      </c>
      <c r="AM79" s="235">
        <v>8.7342999999999993</v>
      </c>
      <c r="AN79" s="235"/>
      <c r="AO79" s="235" t="s">
        <v>340</v>
      </c>
      <c r="AP79" s="235"/>
      <c r="AQ79" s="235">
        <v>1089479</v>
      </c>
      <c r="AR79" s="235"/>
      <c r="AS79" s="235"/>
      <c r="AT79" s="235"/>
      <c r="AU79" s="235"/>
      <c r="AV79" s="235"/>
      <c r="AW79" s="235">
        <v>1296480</v>
      </c>
      <c r="AX79" s="235"/>
      <c r="AY79" s="235">
        <v>25929600</v>
      </c>
      <c r="AZ79" s="235">
        <v>51859200</v>
      </c>
      <c r="BA79" s="235"/>
      <c r="BB79" s="235">
        <v>0.04</v>
      </c>
      <c r="BC79" s="235"/>
      <c r="BD79" s="235"/>
      <c r="BE79" s="241"/>
    </row>
    <row r="80" spans="1:57">
      <c r="A80" s="236" t="s">
        <v>562</v>
      </c>
      <c r="B80" s="235" t="s">
        <v>428</v>
      </c>
      <c r="C80" s="235">
        <v>1998</v>
      </c>
      <c r="D80" s="235"/>
      <c r="E80" s="235">
        <v>1998</v>
      </c>
      <c r="F80" s="235" t="s">
        <v>27</v>
      </c>
      <c r="G80" s="235" t="s">
        <v>212</v>
      </c>
      <c r="H80" s="235">
        <v>1500</v>
      </c>
      <c r="I80" s="235">
        <v>1</v>
      </c>
      <c r="J80" s="235" t="s">
        <v>350</v>
      </c>
      <c r="K80" s="235"/>
      <c r="L80" s="235"/>
      <c r="M80" s="235">
        <v>67</v>
      </c>
      <c r="N80" s="235">
        <v>9</v>
      </c>
      <c r="O80" s="235"/>
      <c r="P80" s="235">
        <v>2.5</v>
      </c>
      <c r="Q80" s="235"/>
      <c r="R80" s="235"/>
      <c r="S80" s="235"/>
      <c r="T80" s="235"/>
      <c r="U80" s="235">
        <v>20</v>
      </c>
      <c r="V80" s="235"/>
      <c r="W80" s="235"/>
      <c r="X80" s="235">
        <v>21.7</v>
      </c>
      <c r="Y80" s="235"/>
      <c r="Z80" s="235">
        <v>0.17</v>
      </c>
      <c r="AA80" s="235"/>
      <c r="AB80" s="235"/>
      <c r="AC80" s="235">
        <v>0.92</v>
      </c>
      <c r="AD80" s="235" t="s">
        <v>349</v>
      </c>
      <c r="AE80" s="235">
        <v>66</v>
      </c>
      <c r="AF80" s="235">
        <v>0.31</v>
      </c>
      <c r="AG80" s="235">
        <v>1500</v>
      </c>
      <c r="AH80" s="235">
        <v>13515429</v>
      </c>
      <c r="AI80" s="235"/>
      <c r="AJ80" s="235"/>
      <c r="AK80" s="235" t="s">
        <v>689</v>
      </c>
      <c r="AL80" s="235" t="s">
        <v>597</v>
      </c>
      <c r="AM80" s="235">
        <v>8.7342999999999993</v>
      </c>
      <c r="AN80" s="235"/>
      <c r="AO80" s="235" t="s">
        <v>340</v>
      </c>
      <c r="AP80" s="235"/>
      <c r="AQ80" s="235">
        <v>3754286</v>
      </c>
      <c r="AR80" s="235"/>
      <c r="AS80" s="235"/>
      <c r="AT80" s="235"/>
      <c r="AU80" s="235"/>
      <c r="AV80" s="235"/>
      <c r="AW80" s="235">
        <v>4073400</v>
      </c>
      <c r="AX80" s="235"/>
      <c r="AY80" s="235">
        <v>81468000</v>
      </c>
      <c r="AZ80" s="235">
        <v>54312000</v>
      </c>
      <c r="BA80" s="235"/>
      <c r="BB80" s="235">
        <v>0.05</v>
      </c>
      <c r="BC80" s="235"/>
      <c r="BD80" s="235"/>
      <c r="BE80" s="241"/>
    </row>
    <row r="81" spans="1:57">
      <c r="A81" s="236" t="s">
        <v>641</v>
      </c>
      <c r="B81" s="235" t="s">
        <v>416</v>
      </c>
      <c r="C81" s="235">
        <v>1998</v>
      </c>
      <c r="D81" s="235"/>
      <c r="E81" s="235">
        <v>1998</v>
      </c>
      <c r="F81" s="235"/>
      <c r="G81" s="235"/>
      <c r="H81" s="235">
        <v>300</v>
      </c>
      <c r="I81" s="235">
        <v>1</v>
      </c>
      <c r="J81" s="235"/>
      <c r="K81" s="235"/>
      <c r="L81" s="235" t="s">
        <v>24</v>
      </c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>
        <v>0.31</v>
      </c>
      <c r="AG81" s="235">
        <v>300</v>
      </c>
      <c r="AH81" s="235"/>
      <c r="AI81" s="235"/>
      <c r="AJ81" s="235"/>
      <c r="AK81" s="235" t="s">
        <v>598</v>
      </c>
      <c r="AL81" s="235" t="s">
        <v>597</v>
      </c>
      <c r="AM81" s="235">
        <v>8.7342999999999993</v>
      </c>
      <c r="AN81" s="235"/>
      <c r="AO81" s="235"/>
      <c r="AP81" s="235"/>
      <c r="AQ81" s="235"/>
      <c r="AR81" s="235"/>
      <c r="AS81" s="235"/>
      <c r="AT81" s="235"/>
      <c r="AU81" s="235"/>
      <c r="AV81" s="235"/>
      <c r="AW81" s="235">
        <v>814680</v>
      </c>
      <c r="AX81" s="235"/>
      <c r="AY81" s="235"/>
      <c r="AZ81" s="235"/>
      <c r="BA81" s="235"/>
      <c r="BB81" s="235"/>
      <c r="BC81" s="235"/>
      <c r="BD81" s="235">
        <v>9.1</v>
      </c>
      <c r="BE81" s="241"/>
    </row>
    <row r="82" spans="1:57">
      <c r="A82" s="236" t="s">
        <v>563</v>
      </c>
      <c r="B82" s="235" t="s">
        <v>444</v>
      </c>
      <c r="C82" s="235">
        <v>1998</v>
      </c>
      <c r="D82" s="235"/>
      <c r="E82" s="235">
        <v>1998</v>
      </c>
      <c r="F82" s="235"/>
      <c r="G82" s="235"/>
      <c r="H82" s="235">
        <v>750</v>
      </c>
      <c r="I82" s="235">
        <v>1</v>
      </c>
      <c r="J82" s="235"/>
      <c r="K82" s="235"/>
      <c r="L82" s="235" t="s">
        <v>24</v>
      </c>
      <c r="M82" s="235"/>
      <c r="N82" s="235"/>
      <c r="O82" s="235"/>
      <c r="P82" s="235"/>
      <c r="Q82" s="235">
        <v>613967</v>
      </c>
      <c r="R82" s="235"/>
      <c r="S82" s="235">
        <v>0.82</v>
      </c>
      <c r="T82" s="235"/>
      <c r="U82" s="235">
        <v>30</v>
      </c>
      <c r="V82" s="235"/>
      <c r="W82" s="235"/>
      <c r="X82" s="235"/>
      <c r="Y82" s="235"/>
      <c r="Z82" s="235"/>
      <c r="AA82" s="235"/>
      <c r="AB82" s="235"/>
      <c r="AC82" s="235"/>
      <c r="AD82" s="235"/>
      <c r="AE82" s="235"/>
      <c r="AF82" s="235">
        <v>0.35</v>
      </c>
      <c r="AG82" s="235">
        <v>750</v>
      </c>
      <c r="AH82" s="235"/>
      <c r="AI82" s="235"/>
      <c r="AJ82" s="235"/>
      <c r="AK82" s="235" t="s">
        <v>598</v>
      </c>
      <c r="AL82" s="235" t="s">
        <v>597</v>
      </c>
      <c r="AM82" s="235">
        <v>8.7342999999999993</v>
      </c>
      <c r="AN82" s="235"/>
      <c r="AO82" s="235"/>
      <c r="AP82" s="235"/>
      <c r="AQ82" s="235"/>
      <c r="AR82" s="235"/>
      <c r="AS82" s="235"/>
      <c r="AT82" s="235"/>
      <c r="AU82" s="235"/>
      <c r="AV82" s="235"/>
      <c r="AW82" s="235">
        <v>2299500</v>
      </c>
      <c r="AX82" s="235"/>
      <c r="AY82" s="235">
        <v>68985000</v>
      </c>
      <c r="AZ82" s="235">
        <v>91980000</v>
      </c>
      <c r="BA82" s="235"/>
      <c r="BB82" s="235"/>
      <c r="BC82" s="235"/>
      <c r="BD82" s="235">
        <v>8.9</v>
      </c>
      <c r="BE82" s="241"/>
    </row>
    <row r="83" spans="1:57">
      <c r="A83" s="236" t="s">
        <v>563</v>
      </c>
      <c r="B83" s="235" t="s">
        <v>444</v>
      </c>
      <c r="C83" s="235">
        <v>1998</v>
      </c>
      <c r="D83" s="235"/>
      <c r="E83" s="235">
        <v>1998</v>
      </c>
      <c r="F83" s="235"/>
      <c r="G83" s="235"/>
      <c r="H83" s="235">
        <v>342.5</v>
      </c>
      <c r="I83" s="235">
        <v>1</v>
      </c>
      <c r="J83" s="235"/>
      <c r="K83" s="235"/>
      <c r="L83" s="235" t="s">
        <v>24</v>
      </c>
      <c r="M83" s="235"/>
      <c r="N83" s="235"/>
      <c r="O83" s="235"/>
      <c r="P83" s="235"/>
      <c r="Q83" s="235">
        <v>259226</v>
      </c>
      <c r="R83" s="235"/>
      <c r="S83" s="235">
        <v>0.76</v>
      </c>
      <c r="T83" s="235"/>
      <c r="U83" s="235">
        <v>25</v>
      </c>
      <c r="V83" s="235"/>
      <c r="W83" s="235"/>
      <c r="X83" s="235"/>
      <c r="Y83" s="235"/>
      <c r="Z83" s="235"/>
      <c r="AA83" s="235"/>
      <c r="AB83" s="235"/>
      <c r="AC83" s="235"/>
      <c r="AD83" s="235"/>
      <c r="AE83" s="235"/>
      <c r="AF83" s="235">
        <v>0.24</v>
      </c>
      <c r="AG83" s="235">
        <v>342.5</v>
      </c>
      <c r="AH83" s="235"/>
      <c r="AI83" s="235"/>
      <c r="AJ83" s="235"/>
      <c r="AK83" s="235" t="s">
        <v>598</v>
      </c>
      <c r="AL83" s="235" t="s">
        <v>597</v>
      </c>
      <c r="AM83" s="235">
        <v>8.7342999999999993</v>
      </c>
      <c r="AN83" s="235"/>
      <c r="AO83" s="235"/>
      <c r="AP83" s="235"/>
      <c r="AQ83" s="235"/>
      <c r="AR83" s="235"/>
      <c r="AS83" s="235"/>
      <c r="AT83" s="235"/>
      <c r="AU83" s="235"/>
      <c r="AV83" s="235"/>
      <c r="AW83" s="235">
        <v>720072</v>
      </c>
      <c r="AX83" s="235"/>
      <c r="AY83" s="235">
        <v>18001800</v>
      </c>
      <c r="AZ83" s="235">
        <v>52560000</v>
      </c>
      <c r="BA83" s="235"/>
      <c r="BB83" s="235"/>
      <c r="BC83" s="235"/>
      <c r="BD83" s="235">
        <v>14.4</v>
      </c>
      <c r="BE83" s="241"/>
    </row>
    <row r="84" spans="1:57">
      <c r="A84" s="236" t="s">
        <v>563</v>
      </c>
      <c r="B84" s="235" t="s">
        <v>444</v>
      </c>
      <c r="C84" s="235">
        <v>1998</v>
      </c>
      <c r="D84" s="235"/>
      <c r="E84" s="235">
        <v>1998</v>
      </c>
      <c r="F84" s="235"/>
      <c r="G84" s="235"/>
      <c r="H84" s="235">
        <v>600</v>
      </c>
      <c r="I84" s="235">
        <v>1</v>
      </c>
      <c r="J84" s="235"/>
      <c r="K84" s="235"/>
      <c r="L84" s="235" t="s">
        <v>24</v>
      </c>
      <c r="M84" s="235"/>
      <c r="N84" s="235"/>
      <c r="O84" s="235"/>
      <c r="P84" s="235"/>
      <c r="Q84" s="235">
        <v>658261</v>
      </c>
      <c r="R84" s="235"/>
      <c r="S84" s="235">
        <v>1.1000000000000001</v>
      </c>
      <c r="T84" s="235"/>
      <c r="U84" s="235">
        <v>20</v>
      </c>
      <c r="V84" s="235"/>
      <c r="W84" s="235"/>
      <c r="X84" s="235"/>
      <c r="Y84" s="235"/>
      <c r="Z84" s="235"/>
      <c r="AA84" s="235"/>
      <c r="AB84" s="235"/>
      <c r="AC84" s="235"/>
      <c r="AD84" s="235"/>
      <c r="AE84" s="235"/>
      <c r="AF84" s="235">
        <v>0.31</v>
      </c>
      <c r="AG84" s="235">
        <v>600</v>
      </c>
      <c r="AH84" s="235"/>
      <c r="AI84" s="235"/>
      <c r="AJ84" s="235"/>
      <c r="AK84" s="235" t="s">
        <v>598</v>
      </c>
      <c r="AL84" s="235" t="s">
        <v>597</v>
      </c>
      <c r="AM84" s="235">
        <v>8.7342999999999993</v>
      </c>
      <c r="AN84" s="235"/>
      <c r="AO84" s="235"/>
      <c r="AP84" s="235"/>
      <c r="AQ84" s="235"/>
      <c r="AR84" s="235"/>
      <c r="AS84" s="235"/>
      <c r="AT84" s="235"/>
      <c r="AU84" s="235"/>
      <c r="AV84" s="235"/>
      <c r="AW84" s="235">
        <v>1629360</v>
      </c>
      <c r="AX84" s="235"/>
      <c r="AY84" s="235">
        <v>32587200</v>
      </c>
      <c r="AZ84" s="235">
        <v>54312000</v>
      </c>
      <c r="BA84" s="235"/>
      <c r="BB84" s="235"/>
      <c r="BC84" s="235"/>
      <c r="BD84" s="235">
        <v>20.2</v>
      </c>
      <c r="BE84" s="241"/>
    </row>
    <row r="85" spans="1:57">
      <c r="A85" s="236" t="s">
        <v>563</v>
      </c>
      <c r="B85" s="235" t="s">
        <v>444</v>
      </c>
      <c r="C85" s="235">
        <v>1999</v>
      </c>
      <c r="D85" s="235"/>
      <c r="E85" s="235">
        <v>1999</v>
      </c>
      <c r="F85" s="235" t="s">
        <v>109</v>
      </c>
      <c r="G85" s="235" t="s">
        <v>214</v>
      </c>
      <c r="H85" s="235">
        <v>342.5</v>
      </c>
      <c r="I85" s="235">
        <v>1</v>
      </c>
      <c r="J85" s="235" t="s">
        <v>347</v>
      </c>
      <c r="K85" s="235"/>
      <c r="L85" s="235" t="s">
        <v>24</v>
      </c>
      <c r="M85" s="235">
        <v>36</v>
      </c>
      <c r="N85" s="235">
        <v>9.9</v>
      </c>
      <c r="O85" s="235"/>
      <c r="P85" s="235">
        <v>2.7</v>
      </c>
      <c r="Q85" s="235">
        <v>311071</v>
      </c>
      <c r="R85" s="235"/>
      <c r="S85" s="235">
        <v>0.78</v>
      </c>
      <c r="T85" s="235"/>
      <c r="U85" s="235">
        <v>30</v>
      </c>
      <c r="V85" s="235"/>
      <c r="W85" s="235"/>
      <c r="X85" s="235">
        <v>23</v>
      </c>
      <c r="Y85" s="235"/>
      <c r="Z85" s="235">
        <v>0.16</v>
      </c>
      <c r="AA85" s="235"/>
      <c r="AB85" s="235"/>
      <c r="AC85" s="235">
        <v>1.3</v>
      </c>
      <c r="AD85" s="235" t="s">
        <v>346</v>
      </c>
      <c r="AE85" s="235">
        <v>32.9</v>
      </c>
      <c r="AF85" s="235">
        <v>0.24</v>
      </c>
      <c r="AG85" s="235">
        <v>342.5</v>
      </c>
      <c r="AH85" s="235">
        <v>3381208</v>
      </c>
      <c r="AI85" s="235"/>
      <c r="AJ85" s="235"/>
      <c r="AK85" s="235" t="s">
        <v>689</v>
      </c>
      <c r="AL85" s="235" t="s">
        <v>597</v>
      </c>
      <c r="AM85" s="235">
        <v>12.3721</v>
      </c>
      <c r="AN85" s="235"/>
      <c r="AO85" s="235" t="s">
        <v>340</v>
      </c>
      <c r="AP85" s="235"/>
      <c r="AQ85" s="235">
        <v>939224</v>
      </c>
      <c r="AR85" s="235"/>
      <c r="AS85" s="235"/>
      <c r="AT85" s="235"/>
      <c r="AU85" s="235"/>
      <c r="AV85" s="235"/>
      <c r="AW85" s="235">
        <v>720072</v>
      </c>
      <c r="AX85" s="235"/>
      <c r="AY85" s="235">
        <v>21602160</v>
      </c>
      <c r="AZ85" s="235">
        <v>63072000</v>
      </c>
      <c r="BA85" s="235"/>
      <c r="BB85" s="235">
        <v>0.04</v>
      </c>
      <c r="BC85" s="235"/>
      <c r="BD85" s="235">
        <v>14.4</v>
      </c>
      <c r="BE85" s="241"/>
    </row>
    <row r="86" spans="1:57">
      <c r="A86" s="236" t="s">
        <v>563</v>
      </c>
      <c r="B86" s="235" t="s">
        <v>444</v>
      </c>
      <c r="C86" s="235">
        <v>1999</v>
      </c>
      <c r="D86" s="235"/>
      <c r="E86" s="235">
        <v>1999</v>
      </c>
      <c r="F86" s="235" t="s">
        <v>109</v>
      </c>
      <c r="G86" s="235" t="s">
        <v>214</v>
      </c>
      <c r="H86" s="235">
        <v>600</v>
      </c>
      <c r="I86" s="235">
        <v>1</v>
      </c>
      <c r="J86" s="235" t="s">
        <v>95</v>
      </c>
      <c r="K86" s="235"/>
      <c r="L86" s="235" t="s">
        <v>24</v>
      </c>
      <c r="M86" s="235">
        <v>60</v>
      </c>
      <c r="N86" s="235">
        <v>11.5</v>
      </c>
      <c r="O86" s="235"/>
      <c r="P86" s="235">
        <v>3.2</v>
      </c>
      <c r="Q86" s="235">
        <v>658261</v>
      </c>
      <c r="R86" s="235"/>
      <c r="S86" s="235">
        <v>1.1000000000000001</v>
      </c>
      <c r="T86" s="235"/>
      <c r="U86" s="235">
        <v>20</v>
      </c>
      <c r="V86" s="235"/>
      <c r="W86" s="235"/>
      <c r="X86" s="235">
        <v>17</v>
      </c>
      <c r="Y86" s="235"/>
      <c r="Z86" s="235">
        <v>0.21</v>
      </c>
      <c r="AA86" s="235"/>
      <c r="AB86" s="235"/>
      <c r="AC86" s="235">
        <v>1.18</v>
      </c>
      <c r="AD86" s="235" t="s">
        <v>346</v>
      </c>
      <c r="AE86" s="235">
        <v>46</v>
      </c>
      <c r="AF86" s="235">
        <v>0.31</v>
      </c>
      <c r="AG86" s="235">
        <v>600</v>
      </c>
      <c r="AH86" s="235">
        <v>6900819</v>
      </c>
      <c r="AI86" s="235"/>
      <c r="AJ86" s="235"/>
      <c r="AK86" s="235" t="s">
        <v>689</v>
      </c>
      <c r="AL86" s="235" t="s">
        <v>597</v>
      </c>
      <c r="AM86" s="235">
        <v>12.3721</v>
      </c>
      <c r="AN86" s="235"/>
      <c r="AO86" s="235" t="s">
        <v>340</v>
      </c>
      <c r="AP86" s="235"/>
      <c r="AQ86" s="235">
        <v>1916894</v>
      </c>
      <c r="AR86" s="235"/>
      <c r="AS86" s="235"/>
      <c r="AT86" s="235"/>
      <c r="AU86" s="235"/>
      <c r="AV86" s="235"/>
      <c r="AW86" s="235">
        <v>1629360</v>
      </c>
      <c r="AX86" s="235"/>
      <c r="AY86" s="235">
        <v>32587200</v>
      </c>
      <c r="AZ86" s="235">
        <v>54312000</v>
      </c>
      <c r="BA86" s="235"/>
      <c r="BB86" s="235">
        <v>0.06</v>
      </c>
      <c r="BC86" s="235"/>
      <c r="BD86" s="235">
        <v>20.2</v>
      </c>
      <c r="BE86" s="241"/>
    </row>
    <row r="87" spans="1:57">
      <c r="A87" s="236" t="s">
        <v>563</v>
      </c>
      <c r="B87" s="235" t="s">
        <v>444</v>
      </c>
      <c r="C87" s="235">
        <v>1999</v>
      </c>
      <c r="D87" s="235"/>
      <c r="E87" s="235">
        <v>1999</v>
      </c>
      <c r="F87" s="235" t="s">
        <v>109</v>
      </c>
      <c r="G87" s="235" t="s">
        <v>214</v>
      </c>
      <c r="H87" s="235">
        <v>750</v>
      </c>
      <c r="I87" s="235">
        <v>1</v>
      </c>
      <c r="J87" s="235" t="s">
        <v>355</v>
      </c>
      <c r="K87" s="235"/>
      <c r="L87" s="235" t="s">
        <v>24</v>
      </c>
      <c r="M87" s="235">
        <v>48</v>
      </c>
      <c r="N87" s="235">
        <v>7.1</v>
      </c>
      <c r="O87" s="235"/>
      <c r="P87" s="235">
        <v>2</v>
      </c>
      <c r="Q87" s="235">
        <v>511639</v>
      </c>
      <c r="R87" s="235"/>
      <c r="S87" s="235">
        <v>0.51</v>
      </c>
      <c r="T87" s="235"/>
      <c r="U87" s="235">
        <v>25</v>
      </c>
      <c r="V87" s="235"/>
      <c r="W87" s="235"/>
      <c r="X87" s="235">
        <v>39</v>
      </c>
      <c r="Y87" s="235"/>
      <c r="Z87" s="235">
        <v>0.09</v>
      </c>
      <c r="AA87" s="235"/>
      <c r="AB87" s="235"/>
      <c r="AC87" s="235">
        <v>0.64</v>
      </c>
      <c r="AD87" s="235" t="s">
        <v>346</v>
      </c>
      <c r="AE87" s="235">
        <v>46</v>
      </c>
      <c r="AF87" s="235">
        <v>0.35</v>
      </c>
      <c r="AG87" s="235">
        <v>750</v>
      </c>
      <c r="AH87" s="235">
        <v>5306538</v>
      </c>
      <c r="AI87" s="235"/>
      <c r="AJ87" s="235"/>
      <c r="AK87" s="235" t="s">
        <v>689</v>
      </c>
      <c r="AL87" s="235" t="s">
        <v>597</v>
      </c>
      <c r="AM87" s="235">
        <v>12.3721</v>
      </c>
      <c r="AN87" s="235"/>
      <c r="AO87" s="235" t="s">
        <v>340</v>
      </c>
      <c r="AP87" s="235"/>
      <c r="AQ87" s="235">
        <v>1474038</v>
      </c>
      <c r="AR87" s="235"/>
      <c r="AS87" s="235"/>
      <c r="AT87" s="235"/>
      <c r="AU87" s="235"/>
      <c r="AV87" s="235"/>
      <c r="AW87" s="235">
        <v>2299500</v>
      </c>
      <c r="AX87" s="235"/>
      <c r="AY87" s="235">
        <v>57487500</v>
      </c>
      <c r="AZ87" s="235">
        <v>76650000</v>
      </c>
      <c r="BA87" s="235"/>
      <c r="BB87" s="235">
        <v>0.03</v>
      </c>
      <c r="BC87" s="235"/>
      <c r="BD87" s="235">
        <v>8.9</v>
      </c>
      <c r="BE87" s="241"/>
    </row>
    <row r="88" spans="1:57">
      <c r="A88" s="236" t="s">
        <v>562</v>
      </c>
      <c r="B88" s="235" t="s">
        <v>428</v>
      </c>
      <c r="C88" s="235">
        <v>1999</v>
      </c>
      <c r="D88" s="235"/>
      <c r="E88" s="235">
        <v>1999</v>
      </c>
      <c r="F88" s="235" t="s">
        <v>27</v>
      </c>
      <c r="G88" s="235" t="s">
        <v>212</v>
      </c>
      <c r="H88" s="235">
        <v>1500</v>
      </c>
      <c r="I88" s="235">
        <v>1</v>
      </c>
      <c r="J88" s="235"/>
      <c r="K88" s="235"/>
      <c r="L88" s="235"/>
      <c r="M88" s="235">
        <v>67</v>
      </c>
      <c r="N88" s="235">
        <v>7.4</v>
      </c>
      <c r="O88" s="235"/>
      <c r="P88" s="235">
        <v>2.1</v>
      </c>
      <c r="Q88" s="235"/>
      <c r="R88" s="235"/>
      <c r="S88" s="235"/>
      <c r="T88" s="235"/>
      <c r="U88" s="235">
        <v>20</v>
      </c>
      <c r="V88" s="235"/>
      <c r="W88" s="235"/>
      <c r="X88" s="235">
        <v>26.3</v>
      </c>
      <c r="Y88" s="235"/>
      <c r="Z88" s="235">
        <v>0.14000000000000001</v>
      </c>
      <c r="AA88" s="235"/>
      <c r="AB88" s="235"/>
      <c r="AC88" s="235">
        <v>0.76</v>
      </c>
      <c r="AD88" s="235" t="s">
        <v>364</v>
      </c>
      <c r="AE88" s="235">
        <v>66</v>
      </c>
      <c r="AF88" s="235">
        <v>0.31</v>
      </c>
      <c r="AG88" s="235">
        <v>1500</v>
      </c>
      <c r="AH88" s="235">
        <v>11151513</v>
      </c>
      <c r="AI88" s="235"/>
      <c r="AJ88" s="235"/>
      <c r="AK88" s="235" t="s">
        <v>689</v>
      </c>
      <c r="AL88" s="235" t="s">
        <v>597</v>
      </c>
      <c r="AM88" s="235">
        <v>12.3721</v>
      </c>
      <c r="AN88" s="235"/>
      <c r="AO88" s="235" t="s">
        <v>356</v>
      </c>
      <c r="AP88" s="235"/>
      <c r="AQ88" s="235">
        <v>3097643</v>
      </c>
      <c r="AR88" s="235"/>
      <c r="AS88" s="235"/>
      <c r="AT88" s="235"/>
      <c r="AU88" s="235"/>
      <c r="AV88" s="235"/>
      <c r="AW88" s="235">
        <v>4073400</v>
      </c>
      <c r="AX88" s="235"/>
      <c r="AY88" s="235">
        <v>81468000</v>
      </c>
      <c r="AZ88" s="235">
        <v>54312000</v>
      </c>
      <c r="BA88" s="235"/>
      <c r="BB88" s="235">
        <v>0.04</v>
      </c>
      <c r="BC88" s="235"/>
      <c r="BD88" s="235"/>
      <c r="BE88" s="241"/>
    </row>
    <row r="89" spans="1:57">
      <c r="A89" s="236" t="s">
        <v>562</v>
      </c>
      <c r="B89" s="235" t="s">
        <v>428</v>
      </c>
      <c r="C89" s="235">
        <v>1999</v>
      </c>
      <c r="D89" s="235"/>
      <c r="E89" s="235">
        <v>1999</v>
      </c>
      <c r="F89" s="235" t="s">
        <v>27</v>
      </c>
      <c r="G89" s="235" t="s">
        <v>374</v>
      </c>
      <c r="H89" s="235">
        <v>1500</v>
      </c>
      <c r="I89" s="235">
        <v>1</v>
      </c>
      <c r="J89" s="235" t="s">
        <v>375</v>
      </c>
      <c r="K89" s="235"/>
      <c r="L89" s="235"/>
      <c r="M89" s="235">
        <v>67</v>
      </c>
      <c r="N89" s="235">
        <v>9.1999999999999993</v>
      </c>
      <c r="O89" s="235"/>
      <c r="P89" s="235">
        <v>2.6</v>
      </c>
      <c r="Q89" s="235"/>
      <c r="R89" s="235"/>
      <c r="S89" s="235"/>
      <c r="T89" s="235"/>
      <c r="U89" s="235">
        <v>20</v>
      </c>
      <c r="V89" s="235"/>
      <c r="W89" s="235"/>
      <c r="X89" s="235">
        <v>31.3</v>
      </c>
      <c r="Y89" s="235"/>
      <c r="Z89" s="235">
        <v>0.12</v>
      </c>
      <c r="AA89" s="235"/>
      <c r="AB89" s="235"/>
      <c r="AC89" s="235">
        <v>0.64</v>
      </c>
      <c r="AD89" s="235" t="s">
        <v>364</v>
      </c>
      <c r="AE89" s="235">
        <v>66</v>
      </c>
      <c r="AF89" s="235">
        <v>0.45900000000000002</v>
      </c>
      <c r="AG89" s="235">
        <v>1500</v>
      </c>
      <c r="AH89" s="235">
        <v>13873825</v>
      </c>
      <c r="AI89" s="235"/>
      <c r="AJ89" s="235"/>
      <c r="AK89" s="235" t="s">
        <v>689</v>
      </c>
      <c r="AL89" s="235" t="s">
        <v>597</v>
      </c>
      <c r="AM89" s="235">
        <v>12.3721</v>
      </c>
      <c r="AN89" s="235"/>
      <c r="AO89" s="235" t="s">
        <v>356</v>
      </c>
      <c r="AP89" s="235"/>
      <c r="AQ89" s="235">
        <v>3853840</v>
      </c>
      <c r="AR89" s="235"/>
      <c r="AS89" s="235"/>
      <c r="AT89" s="235"/>
      <c r="AU89" s="235"/>
      <c r="AV89" s="235"/>
      <c r="AW89" s="235">
        <v>6031260</v>
      </c>
      <c r="AX89" s="235"/>
      <c r="AY89" s="235">
        <v>120625200</v>
      </c>
      <c r="AZ89" s="235">
        <v>80416800</v>
      </c>
      <c r="BA89" s="235"/>
      <c r="BB89" s="235">
        <v>0.03</v>
      </c>
      <c r="BC89" s="235"/>
      <c r="BD89" s="235"/>
      <c r="BE89" s="241"/>
    </row>
    <row r="90" spans="1:57">
      <c r="A90" s="236" t="s">
        <v>562</v>
      </c>
      <c r="B90" s="235" t="s">
        <v>428</v>
      </c>
      <c r="C90" s="235">
        <v>2000</v>
      </c>
      <c r="D90" s="235"/>
      <c r="E90" s="235">
        <v>2000</v>
      </c>
      <c r="F90" s="235" t="s">
        <v>109</v>
      </c>
      <c r="G90" s="235" t="s">
        <v>354</v>
      </c>
      <c r="H90" s="235">
        <v>600</v>
      </c>
      <c r="I90" s="235">
        <v>1</v>
      </c>
      <c r="J90" s="235"/>
      <c r="K90" s="235"/>
      <c r="L90" s="235"/>
      <c r="M90" s="235"/>
      <c r="N90" s="235">
        <v>7.8</v>
      </c>
      <c r="O90" s="235"/>
      <c r="P90" s="235">
        <v>2.2000000000000002</v>
      </c>
      <c r="Q90" s="235">
        <v>284013</v>
      </c>
      <c r="R90" s="235"/>
      <c r="S90" s="235">
        <v>0.38</v>
      </c>
      <c r="T90" s="235"/>
      <c r="U90" s="235">
        <v>20</v>
      </c>
      <c r="V90" s="235"/>
      <c r="W90" s="235"/>
      <c r="X90" s="235">
        <v>27.8</v>
      </c>
      <c r="Y90" s="235"/>
      <c r="Z90" s="235">
        <v>0.13</v>
      </c>
      <c r="AA90" s="235"/>
      <c r="AB90" s="235"/>
      <c r="AC90" s="235">
        <v>0.72</v>
      </c>
      <c r="AD90" s="235" t="s">
        <v>353</v>
      </c>
      <c r="AE90" s="235"/>
      <c r="AF90" s="235">
        <v>0.34200000000000003</v>
      </c>
      <c r="AG90" s="235">
        <v>600</v>
      </c>
      <c r="AH90" s="235">
        <v>4655530</v>
      </c>
      <c r="AI90" s="235"/>
      <c r="AJ90" s="235"/>
      <c r="AK90" s="235" t="s">
        <v>689</v>
      </c>
      <c r="AL90" s="235" t="s">
        <v>597</v>
      </c>
      <c r="AM90" s="235">
        <v>16.347073333000001</v>
      </c>
      <c r="AN90" s="235"/>
      <c r="AO90" s="235" t="s">
        <v>340</v>
      </c>
      <c r="AP90" s="235"/>
      <c r="AQ90" s="235">
        <v>1293203</v>
      </c>
      <c r="AR90" s="235"/>
      <c r="AS90" s="235"/>
      <c r="AT90" s="235"/>
      <c r="AU90" s="235"/>
      <c r="AV90" s="235"/>
      <c r="AW90" s="235">
        <v>1797552</v>
      </c>
      <c r="AX90" s="235"/>
      <c r="AY90" s="235">
        <v>35951040</v>
      </c>
      <c r="AZ90" s="235">
        <v>59918400</v>
      </c>
      <c r="BA90" s="235"/>
      <c r="BB90" s="235">
        <v>0.04</v>
      </c>
      <c r="BC90" s="235"/>
      <c r="BD90" s="235">
        <v>7.9</v>
      </c>
      <c r="BE90" s="241"/>
    </row>
    <row r="91" spans="1:57">
      <c r="A91" s="236" t="s">
        <v>564</v>
      </c>
      <c r="B91" s="235" t="s">
        <v>693</v>
      </c>
      <c r="C91" s="235">
        <v>2000</v>
      </c>
      <c r="D91" s="235"/>
      <c r="E91" s="235">
        <v>2000</v>
      </c>
      <c r="F91" s="235" t="s">
        <v>109</v>
      </c>
      <c r="G91" s="235" t="s">
        <v>73</v>
      </c>
      <c r="H91" s="235">
        <v>2500</v>
      </c>
      <c r="I91" s="235">
        <v>1</v>
      </c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>
        <v>7.7</v>
      </c>
      <c r="Y91" s="235"/>
      <c r="Z91" s="235">
        <v>0.47</v>
      </c>
      <c r="AA91" s="235"/>
      <c r="AB91" s="235"/>
      <c r="AC91" s="235"/>
      <c r="AD91" s="235" t="s">
        <v>28</v>
      </c>
      <c r="AE91" s="235"/>
      <c r="AF91" s="235"/>
      <c r="AG91" s="235">
        <v>2500</v>
      </c>
      <c r="AH91" s="235"/>
      <c r="AI91" s="235"/>
      <c r="AJ91" s="235"/>
      <c r="AK91" s="235" t="s">
        <v>689</v>
      </c>
      <c r="AL91" s="235" t="s">
        <v>597</v>
      </c>
      <c r="AM91" s="235">
        <v>16.347073333000001</v>
      </c>
      <c r="AN91" s="235"/>
      <c r="AO91" s="235" t="s">
        <v>340</v>
      </c>
      <c r="AP91" s="235"/>
      <c r="AQ91" s="235"/>
      <c r="AR91" s="235"/>
      <c r="AS91" s="235"/>
      <c r="AT91" s="235"/>
      <c r="AU91" s="235"/>
      <c r="AV91" s="235"/>
      <c r="AW91" s="235"/>
      <c r="AX91" s="235"/>
      <c r="AY91" s="235"/>
      <c r="AZ91" s="235"/>
      <c r="BA91" s="235"/>
      <c r="BB91" s="235">
        <v>0.13</v>
      </c>
      <c r="BC91" s="235"/>
      <c r="BD91" s="235">
        <v>36.15</v>
      </c>
      <c r="BE91" s="241"/>
    </row>
    <row r="92" spans="1:57">
      <c r="A92" s="236" t="s">
        <v>562</v>
      </c>
      <c r="B92" s="235" t="s">
        <v>428</v>
      </c>
      <c r="C92" s="235">
        <v>2000</v>
      </c>
      <c r="D92" s="235"/>
      <c r="E92" s="235">
        <v>2000</v>
      </c>
      <c r="F92" s="235" t="s">
        <v>27</v>
      </c>
      <c r="G92" s="235" t="s">
        <v>354</v>
      </c>
      <c r="H92" s="235">
        <v>600</v>
      </c>
      <c r="I92" s="235">
        <v>1</v>
      </c>
      <c r="J92" s="235"/>
      <c r="K92" s="235"/>
      <c r="L92" s="235"/>
      <c r="M92" s="235"/>
      <c r="N92" s="235">
        <v>7.1</v>
      </c>
      <c r="O92" s="235"/>
      <c r="P92" s="235">
        <v>2</v>
      </c>
      <c r="Q92" s="235">
        <v>330750</v>
      </c>
      <c r="R92" s="235"/>
      <c r="S92" s="235">
        <v>0.33</v>
      </c>
      <c r="T92" s="235"/>
      <c r="U92" s="235">
        <v>20</v>
      </c>
      <c r="V92" s="235"/>
      <c r="W92" s="235"/>
      <c r="X92" s="235">
        <v>30.3</v>
      </c>
      <c r="Y92" s="235"/>
      <c r="Z92" s="235">
        <v>0.12</v>
      </c>
      <c r="AA92" s="235"/>
      <c r="AB92" s="235"/>
      <c r="AC92" s="235">
        <v>0.66</v>
      </c>
      <c r="AD92" s="235" t="s">
        <v>353</v>
      </c>
      <c r="AE92" s="235"/>
      <c r="AF92" s="235">
        <v>0.34200000000000003</v>
      </c>
      <c r="AG92" s="235">
        <v>600</v>
      </c>
      <c r="AH92" s="235">
        <v>4271411</v>
      </c>
      <c r="AI92" s="235"/>
      <c r="AJ92" s="235"/>
      <c r="AK92" s="235" t="s">
        <v>689</v>
      </c>
      <c r="AL92" s="235" t="s">
        <v>597</v>
      </c>
      <c r="AM92" s="235">
        <v>16.347073333000001</v>
      </c>
      <c r="AN92" s="235"/>
      <c r="AO92" s="235" t="s">
        <v>340</v>
      </c>
      <c r="AP92" s="235"/>
      <c r="AQ92" s="235">
        <v>1186503</v>
      </c>
      <c r="AR92" s="235"/>
      <c r="AS92" s="235"/>
      <c r="AT92" s="235"/>
      <c r="AU92" s="235"/>
      <c r="AV92" s="235"/>
      <c r="AW92" s="235">
        <v>1797552</v>
      </c>
      <c r="AX92" s="235"/>
      <c r="AY92" s="235">
        <v>35951040</v>
      </c>
      <c r="AZ92" s="235">
        <v>59918400</v>
      </c>
      <c r="BA92" s="235"/>
      <c r="BB92" s="235">
        <v>0.03</v>
      </c>
      <c r="BC92" s="235"/>
      <c r="BD92" s="235">
        <v>9.1999999999999993</v>
      </c>
      <c r="BE92" s="241"/>
    </row>
    <row r="93" spans="1:57">
      <c r="A93" s="236" t="s">
        <v>562</v>
      </c>
      <c r="B93" s="235" t="s">
        <v>428</v>
      </c>
      <c r="C93" s="235">
        <v>2000</v>
      </c>
      <c r="D93" s="235"/>
      <c r="E93" s="235">
        <v>2000</v>
      </c>
      <c r="F93" s="235"/>
      <c r="G93" s="235" t="s">
        <v>205</v>
      </c>
      <c r="H93" s="235">
        <v>500</v>
      </c>
      <c r="I93" s="235">
        <v>1</v>
      </c>
      <c r="J93" s="235" t="s">
        <v>379</v>
      </c>
      <c r="K93" s="235"/>
      <c r="L93" s="235" t="s">
        <v>31</v>
      </c>
      <c r="M93" s="235">
        <v>40</v>
      </c>
      <c r="N93" s="235">
        <v>4.9000000000000004</v>
      </c>
      <c r="O93" s="235"/>
      <c r="P93" s="235">
        <v>1.4</v>
      </c>
      <c r="Q93" s="235">
        <v>578160</v>
      </c>
      <c r="R93" s="235"/>
      <c r="S93" s="235">
        <v>1.1599999999999999</v>
      </c>
      <c r="T93" s="235"/>
      <c r="U93" s="235">
        <v>20</v>
      </c>
      <c r="V93" s="235"/>
      <c r="W93" s="235"/>
      <c r="X93" s="235">
        <v>51.3</v>
      </c>
      <c r="Y93" s="235"/>
      <c r="Z93" s="235">
        <v>7.0000000000000007E-2</v>
      </c>
      <c r="AA93" s="235"/>
      <c r="AB93" s="235"/>
      <c r="AC93" s="235">
        <v>0.39</v>
      </c>
      <c r="AD93" s="235" t="s">
        <v>22</v>
      </c>
      <c r="AE93" s="235">
        <v>39</v>
      </c>
      <c r="AF93" s="235">
        <v>0.4</v>
      </c>
      <c r="AG93" s="235">
        <v>500</v>
      </c>
      <c r="AH93" s="235">
        <v>2458947</v>
      </c>
      <c r="AI93" s="235"/>
      <c r="AJ93" s="235"/>
      <c r="AK93" s="235" t="s">
        <v>689</v>
      </c>
      <c r="AL93" s="235" t="s">
        <v>597</v>
      </c>
      <c r="AM93" s="235">
        <v>16.347073333000001</v>
      </c>
      <c r="AN93" s="235"/>
      <c r="AO93" s="235" t="s">
        <v>340</v>
      </c>
      <c r="AP93" s="235"/>
      <c r="AQ93" s="235">
        <v>683041</v>
      </c>
      <c r="AR93" s="235"/>
      <c r="AS93" s="235"/>
      <c r="AT93" s="235"/>
      <c r="AU93" s="235"/>
      <c r="AV93" s="235"/>
      <c r="AW93" s="235">
        <v>1752000</v>
      </c>
      <c r="AX93" s="235"/>
      <c r="AY93" s="235">
        <v>35040000</v>
      </c>
      <c r="AZ93" s="235">
        <v>70080000</v>
      </c>
      <c r="BA93" s="235"/>
      <c r="BB93" s="235">
        <v>0.02</v>
      </c>
      <c r="BC93" s="235"/>
      <c r="BD93" s="235">
        <v>16.5</v>
      </c>
      <c r="BE93" s="241"/>
    </row>
    <row r="94" spans="1:57">
      <c r="A94" s="236" t="s">
        <v>562</v>
      </c>
      <c r="B94" s="235" t="s">
        <v>428</v>
      </c>
      <c r="C94" s="235">
        <v>2000</v>
      </c>
      <c r="D94" s="235"/>
      <c r="E94" s="235">
        <v>2000</v>
      </c>
      <c r="F94" s="235"/>
      <c r="G94" s="235" t="s">
        <v>205</v>
      </c>
      <c r="H94" s="235">
        <v>500</v>
      </c>
      <c r="I94" s="235">
        <v>1</v>
      </c>
      <c r="J94" s="235"/>
      <c r="K94" s="235"/>
      <c r="L94" s="235" t="s">
        <v>24</v>
      </c>
      <c r="M94" s="235">
        <v>41</v>
      </c>
      <c r="N94" s="235">
        <v>3.3</v>
      </c>
      <c r="O94" s="235"/>
      <c r="P94" s="235">
        <v>0.9</v>
      </c>
      <c r="Q94" s="235">
        <v>339888</v>
      </c>
      <c r="R94" s="235"/>
      <c r="S94" s="235">
        <v>0.23</v>
      </c>
      <c r="T94" s="235"/>
      <c r="U94" s="235">
        <v>20</v>
      </c>
      <c r="V94" s="235"/>
      <c r="W94" s="235"/>
      <c r="X94" s="235">
        <v>76.900000000000006</v>
      </c>
      <c r="Y94" s="235"/>
      <c r="Z94" s="235">
        <v>0.05</v>
      </c>
      <c r="AA94" s="235"/>
      <c r="AB94" s="235"/>
      <c r="AC94" s="235">
        <v>0.26</v>
      </c>
      <c r="AD94" s="235" t="s">
        <v>22</v>
      </c>
      <c r="AE94" s="235"/>
      <c r="AF94" s="235">
        <v>0.4</v>
      </c>
      <c r="AG94" s="235">
        <v>500</v>
      </c>
      <c r="AH94" s="235">
        <v>1640364</v>
      </c>
      <c r="AI94" s="235"/>
      <c r="AJ94" s="235"/>
      <c r="AK94" s="235" t="s">
        <v>689</v>
      </c>
      <c r="AL94" s="235" t="s">
        <v>597</v>
      </c>
      <c r="AM94" s="235">
        <v>16.347073333000001</v>
      </c>
      <c r="AN94" s="235"/>
      <c r="AO94" s="235" t="s">
        <v>340</v>
      </c>
      <c r="AP94" s="235"/>
      <c r="AQ94" s="235">
        <v>455657</v>
      </c>
      <c r="AR94" s="235"/>
      <c r="AS94" s="235"/>
      <c r="AT94" s="235"/>
      <c r="AU94" s="235"/>
      <c r="AV94" s="235"/>
      <c r="AW94" s="235">
        <v>1752000</v>
      </c>
      <c r="AX94" s="235"/>
      <c r="AY94" s="235">
        <v>35040000</v>
      </c>
      <c r="AZ94" s="235">
        <v>70080000</v>
      </c>
      <c r="BA94" s="235"/>
      <c r="BB94" s="235">
        <v>0.01</v>
      </c>
      <c r="BC94" s="235"/>
      <c r="BD94" s="235">
        <v>9.6999999999999993</v>
      </c>
      <c r="BE94" s="241"/>
    </row>
    <row r="95" spans="1:57">
      <c r="A95" s="236" t="s">
        <v>614</v>
      </c>
      <c r="B95" s="235" t="s">
        <v>438</v>
      </c>
      <c r="C95" s="235">
        <v>2000</v>
      </c>
      <c r="D95" s="235"/>
      <c r="E95" s="235">
        <v>2000</v>
      </c>
      <c r="F95" s="235"/>
      <c r="G95" s="235"/>
      <c r="H95" s="235">
        <v>500</v>
      </c>
      <c r="I95" s="235">
        <v>1</v>
      </c>
      <c r="J95" s="235" t="s">
        <v>545</v>
      </c>
      <c r="K95" s="235"/>
      <c r="L95" s="235" t="s">
        <v>24</v>
      </c>
      <c r="M95" s="235"/>
      <c r="N95" s="235"/>
      <c r="O95" s="235"/>
      <c r="P95" s="235"/>
      <c r="Q95" s="235">
        <v>212211</v>
      </c>
      <c r="R95" s="235"/>
      <c r="S95" s="235">
        <v>0.42</v>
      </c>
      <c r="T95" s="235"/>
      <c r="U95" s="235">
        <v>20</v>
      </c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>
        <v>0.25</v>
      </c>
      <c r="AG95" s="235">
        <v>500</v>
      </c>
      <c r="AH95" s="235"/>
      <c r="AI95" s="235"/>
      <c r="AJ95" s="235"/>
      <c r="AK95" s="235" t="s">
        <v>643</v>
      </c>
      <c r="AL95" s="235" t="s">
        <v>597</v>
      </c>
      <c r="AM95" s="235">
        <v>16.347073333000001</v>
      </c>
      <c r="AN95" s="235"/>
      <c r="AO95" s="235"/>
      <c r="AP95" s="235"/>
      <c r="AQ95" s="235"/>
      <c r="AR95" s="235"/>
      <c r="AS95" s="235"/>
      <c r="AT95" s="235"/>
      <c r="AU95" s="235"/>
      <c r="AV95" s="235"/>
      <c r="AW95" s="235">
        <v>1095000</v>
      </c>
      <c r="AX95" s="235"/>
      <c r="AY95" s="235">
        <v>21900000</v>
      </c>
      <c r="AZ95" s="235">
        <v>43800000</v>
      </c>
      <c r="BA95" s="235"/>
      <c r="BB95" s="235"/>
      <c r="BC95" s="235"/>
      <c r="BD95" s="235">
        <v>9.69</v>
      </c>
      <c r="BE95" s="241"/>
    </row>
    <row r="96" spans="1:57">
      <c r="A96" s="236" t="s">
        <v>614</v>
      </c>
      <c r="B96" s="235" t="s">
        <v>438</v>
      </c>
      <c r="C96" s="235">
        <v>2000</v>
      </c>
      <c r="D96" s="235"/>
      <c r="E96" s="235">
        <v>2000</v>
      </c>
      <c r="F96" s="235"/>
      <c r="G96" s="235"/>
      <c r="H96" s="235">
        <v>500</v>
      </c>
      <c r="I96" s="235">
        <v>1</v>
      </c>
      <c r="J96" s="235" t="s">
        <v>545</v>
      </c>
      <c r="K96" s="235"/>
      <c r="L96" s="235" t="s">
        <v>31</v>
      </c>
      <c r="M96" s="235"/>
      <c r="N96" s="235"/>
      <c r="O96" s="235"/>
      <c r="P96" s="235"/>
      <c r="Q96" s="235">
        <v>231684</v>
      </c>
      <c r="R96" s="235"/>
      <c r="S96" s="235">
        <v>0.46</v>
      </c>
      <c r="T96" s="235"/>
      <c r="U96" s="235">
        <v>20</v>
      </c>
      <c r="V96" s="235"/>
      <c r="W96" s="235"/>
      <c r="X96" s="235"/>
      <c r="Y96" s="235"/>
      <c r="Z96" s="235"/>
      <c r="AA96" s="235"/>
      <c r="AB96" s="235"/>
      <c r="AC96" s="235"/>
      <c r="AD96" s="235"/>
      <c r="AE96" s="235">
        <v>39</v>
      </c>
      <c r="AF96" s="235">
        <v>0.16</v>
      </c>
      <c r="AG96" s="235">
        <v>500</v>
      </c>
      <c r="AH96" s="235"/>
      <c r="AI96" s="235"/>
      <c r="AJ96" s="235"/>
      <c r="AK96" s="235" t="s">
        <v>643</v>
      </c>
      <c r="AL96" s="235" t="s">
        <v>597</v>
      </c>
      <c r="AM96" s="235">
        <v>16.347073333000001</v>
      </c>
      <c r="AN96" s="235"/>
      <c r="AO96" s="235"/>
      <c r="AP96" s="235"/>
      <c r="AQ96" s="235"/>
      <c r="AR96" s="235"/>
      <c r="AS96" s="235"/>
      <c r="AT96" s="235"/>
      <c r="AU96" s="235"/>
      <c r="AV96" s="235"/>
      <c r="AW96" s="235">
        <v>700800</v>
      </c>
      <c r="AX96" s="235"/>
      <c r="AY96" s="235">
        <v>14016000</v>
      </c>
      <c r="AZ96" s="235">
        <v>28032000</v>
      </c>
      <c r="BA96" s="235"/>
      <c r="BB96" s="235"/>
      <c r="BC96" s="235"/>
      <c r="BD96" s="235">
        <v>16.53</v>
      </c>
      <c r="BE96" s="241"/>
    </row>
    <row r="97" spans="1:57">
      <c r="A97" s="236" t="s">
        <v>623</v>
      </c>
      <c r="B97" s="235" t="s">
        <v>430</v>
      </c>
      <c r="C97" s="235">
        <v>2000</v>
      </c>
      <c r="D97" s="235"/>
      <c r="E97" s="235">
        <v>2000</v>
      </c>
      <c r="F97" s="235"/>
      <c r="G97" s="235"/>
      <c r="H97" s="235">
        <v>600</v>
      </c>
      <c r="I97" s="235">
        <v>1</v>
      </c>
      <c r="J97" s="235"/>
      <c r="K97" s="235"/>
      <c r="L97" s="235" t="s">
        <v>24</v>
      </c>
      <c r="M97" s="235"/>
      <c r="N97" s="235"/>
      <c r="O97" s="235"/>
      <c r="P97" s="235"/>
      <c r="Q97" s="235">
        <v>341640</v>
      </c>
      <c r="R97" s="235"/>
      <c r="S97" s="235">
        <v>0.56999999999999995</v>
      </c>
      <c r="T97" s="235"/>
      <c r="U97" s="235">
        <v>25</v>
      </c>
      <c r="V97" s="235"/>
      <c r="W97" s="235"/>
      <c r="X97" s="235"/>
      <c r="Y97" s="235"/>
      <c r="Z97" s="235"/>
      <c r="AA97" s="235"/>
      <c r="AB97" s="235"/>
      <c r="AC97" s="235"/>
      <c r="AD97" s="235"/>
      <c r="AE97" s="235"/>
      <c r="AF97" s="235">
        <v>0.2</v>
      </c>
      <c r="AG97" s="235">
        <v>600</v>
      </c>
      <c r="AH97" s="235"/>
      <c r="AI97" s="235"/>
      <c r="AJ97" s="235"/>
      <c r="AK97" s="235" t="s">
        <v>598</v>
      </c>
      <c r="AL97" s="235" t="s">
        <v>597</v>
      </c>
      <c r="AM97" s="235">
        <v>16.347073333000001</v>
      </c>
      <c r="AN97" s="235"/>
      <c r="AO97" s="235"/>
      <c r="AP97" s="235"/>
      <c r="AQ97" s="235"/>
      <c r="AR97" s="235"/>
      <c r="AS97" s="235"/>
      <c r="AT97" s="235"/>
      <c r="AU97" s="235"/>
      <c r="AV97" s="235"/>
      <c r="AW97" s="235">
        <v>1051200</v>
      </c>
      <c r="AX97" s="235"/>
      <c r="AY97" s="235">
        <v>26280000</v>
      </c>
      <c r="AZ97" s="235">
        <v>43800000</v>
      </c>
      <c r="BA97" s="235"/>
      <c r="BB97" s="235"/>
      <c r="BC97" s="235"/>
      <c r="BD97" s="235">
        <v>13</v>
      </c>
      <c r="BE97" s="241"/>
    </row>
    <row r="98" spans="1:57">
      <c r="A98" s="236" t="s">
        <v>614</v>
      </c>
      <c r="B98" s="235" t="s">
        <v>438</v>
      </c>
      <c r="C98" s="235">
        <v>2000</v>
      </c>
      <c r="D98" s="235"/>
      <c r="E98" s="235">
        <v>2000</v>
      </c>
      <c r="F98" s="235"/>
      <c r="G98" s="235"/>
      <c r="H98" s="235">
        <v>500</v>
      </c>
      <c r="I98" s="235">
        <v>1</v>
      </c>
      <c r="J98" s="235"/>
      <c r="K98" s="235"/>
      <c r="L98" s="235" t="s">
        <v>24</v>
      </c>
      <c r="M98" s="235"/>
      <c r="N98" s="235"/>
      <c r="O98" s="235"/>
      <c r="P98" s="235"/>
      <c r="Q98" s="235">
        <v>213400</v>
      </c>
      <c r="R98" s="235"/>
      <c r="S98" s="235">
        <v>0.43</v>
      </c>
      <c r="T98" s="235"/>
      <c r="U98" s="235">
        <v>20</v>
      </c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35">
        <v>0.25114155300000002</v>
      </c>
      <c r="AG98" s="235">
        <v>500</v>
      </c>
      <c r="AH98" s="235"/>
      <c r="AI98" s="235"/>
      <c r="AJ98" s="235"/>
      <c r="AK98" s="235" t="s">
        <v>598</v>
      </c>
      <c r="AL98" s="235" t="s">
        <v>597</v>
      </c>
      <c r="AM98" s="235">
        <v>16.347073333000001</v>
      </c>
      <c r="AN98" s="235"/>
      <c r="AO98" s="235"/>
      <c r="AP98" s="235"/>
      <c r="AQ98" s="235"/>
      <c r="AR98" s="235"/>
      <c r="AS98" s="235"/>
      <c r="AT98" s="235"/>
      <c r="AU98" s="235"/>
      <c r="AV98" s="235"/>
      <c r="AW98" s="235">
        <v>1100000</v>
      </c>
      <c r="AX98" s="235"/>
      <c r="AY98" s="235">
        <v>22000000</v>
      </c>
      <c r="AZ98" s="235">
        <v>44000000</v>
      </c>
      <c r="BA98" s="235"/>
      <c r="BB98" s="235"/>
      <c r="BC98" s="235"/>
      <c r="BD98" s="235">
        <v>9.6999999999999993</v>
      </c>
      <c r="BE98" s="241"/>
    </row>
    <row r="99" spans="1:57">
      <c r="A99" s="236" t="s">
        <v>614</v>
      </c>
      <c r="B99" s="235" t="s">
        <v>438</v>
      </c>
      <c r="C99" s="235">
        <v>2000</v>
      </c>
      <c r="D99" s="235"/>
      <c r="E99" s="235">
        <v>2000</v>
      </c>
      <c r="F99" s="235"/>
      <c r="G99" s="235"/>
      <c r="H99" s="235">
        <v>500</v>
      </c>
      <c r="I99" s="235">
        <v>1</v>
      </c>
      <c r="J99" s="235"/>
      <c r="K99" s="235"/>
      <c r="L99" s="235" t="s">
        <v>31</v>
      </c>
      <c r="M99" s="235"/>
      <c r="N99" s="235"/>
      <c r="O99" s="235"/>
      <c r="P99" s="235"/>
      <c r="Q99" s="235">
        <v>412500</v>
      </c>
      <c r="R99" s="235"/>
      <c r="S99" s="235">
        <v>0.83</v>
      </c>
      <c r="T99" s="235"/>
      <c r="U99" s="235">
        <v>20</v>
      </c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35">
        <v>0.28538812800000002</v>
      </c>
      <c r="AG99" s="235">
        <v>500</v>
      </c>
      <c r="AH99" s="235"/>
      <c r="AI99" s="235"/>
      <c r="AJ99" s="235"/>
      <c r="AK99" s="235" t="s">
        <v>598</v>
      </c>
      <c r="AL99" s="235" t="s">
        <v>597</v>
      </c>
      <c r="AM99" s="235">
        <v>16.347073333000001</v>
      </c>
      <c r="AN99" s="235"/>
      <c r="AO99" s="235"/>
      <c r="AP99" s="235"/>
      <c r="AQ99" s="235"/>
      <c r="AR99" s="235"/>
      <c r="AS99" s="235"/>
      <c r="AT99" s="235"/>
      <c r="AU99" s="235"/>
      <c r="AV99" s="235"/>
      <c r="AW99" s="235">
        <v>1250000</v>
      </c>
      <c r="AX99" s="235"/>
      <c r="AY99" s="235">
        <v>25000000</v>
      </c>
      <c r="AZ99" s="235">
        <v>50000000</v>
      </c>
      <c r="BA99" s="235"/>
      <c r="BB99" s="235"/>
      <c r="BC99" s="235"/>
      <c r="BD99" s="235">
        <v>16.5</v>
      </c>
      <c r="BE99" s="241"/>
    </row>
    <row r="100" spans="1:57">
      <c r="A100" s="236" t="s">
        <v>605</v>
      </c>
      <c r="B100" s="235" t="s">
        <v>442</v>
      </c>
      <c r="C100" s="235">
        <v>2000</v>
      </c>
      <c r="D100" s="235"/>
      <c r="E100" s="235">
        <v>2000</v>
      </c>
      <c r="F100" s="235"/>
      <c r="G100" s="235"/>
      <c r="H100" s="235">
        <v>600</v>
      </c>
      <c r="I100" s="235">
        <v>1</v>
      </c>
      <c r="J100" s="235"/>
      <c r="K100" s="235"/>
      <c r="L100" s="235" t="s">
        <v>24</v>
      </c>
      <c r="M100" s="235"/>
      <c r="N100" s="235"/>
      <c r="O100" s="235"/>
      <c r="P100" s="235"/>
      <c r="Q100" s="235">
        <v>284400</v>
      </c>
      <c r="R100" s="235"/>
      <c r="S100" s="235">
        <v>0.47</v>
      </c>
      <c r="T100" s="235"/>
      <c r="U100" s="235">
        <v>20</v>
      </c>
      <c r="V100" s="235"/>
      <c r="W100" s="235"/>
      <c r="X100" s="235"/>
      <c r="Y100" s="235"/>
      <c r="Z100" s="235"/>
      <c r="AA100" s="235"/>
      <c r="AB100" s="235"/>
      <c r="AC100" s="235"/>
      <c r="AD100" s="235"/>
      <c r="AE100" s="235"/>
      <c r="AF100" s="235">
        <v>0.34246575299999998</v>
      </c>
      <c r="AG100" s="235">
        <v>600</v>
      </c>
      <c r="AH100" s="235"/>
      <c r="AI100" s="235"/>
      <c r="AJ100" s="235"/>
      <c r="AK100" s="235" t="s">
        <v>598</v>
      </c>
      <c r="AL100" s="235" t="s">
        <v>597</v>
      </c>
      <c r="AM100" s="235">
        <v>16.347073333000001</v>
      </c>
      <c r="AN100" s="235"/>
      <c r="AO100" s="235"/>
      <c r="AP100" s="235"/>
      <c r="AQ100" s="235"/>
      <c r="AR100" s="235"/>
      <c r="AS100" s="235"/>
      <c r="AT100" s="235"/>
      <c r="AU100" s="235"/>
      <c r="AV100" s="235"/>
      <c r="AW100" s="235">
        <v>1800000</v>
      </c>
      <c r="AX100" s="235"/>
      <c r="AY100" s="235">
        <v>36000000</v>
      </c>
      <c r="AZ100" s="235">
        <v>60000000</v>
      </c>
      <c r="BA100" s="235"/>
      <c r="BB100" s="235"/>
      <c r="BC100" s="235"/>
      <c r="BD100" s="235">
        <v>7.9</v>
      </c>
      <c r="BE100" s="241"/>
    </row>
    <row r="101" spans="1:57">
      <c r="A101" s="236" t="s">
        <v>604</v>
      </c>
      <c r="B101" s="235" t="s">
        <v>454</v>
      </c>
      <c r="C101" s="235">
        <v>2000</v>
      </c>
      <c r="D101" s="235"/>
      <c r="E101" s="235">
        <v>2000</v>
      </c>
      <c r="F101" s="235"/>
      <c r="G101" s="235"/>
      <c r="H101" s="235">
        <v>825</v>
      </c>
      <c r="I101" s="235">
        <v>1</v>
      </c>
      <c r="J101" s="235"/>
      <c r="K101" s="235"/>
      <c r="L101" s="235" t="s">
        <v>24</v>
      </c>
      <c r="M101" s="235"/>
      <c r="N101" s="235"/>
      <c r="O101" s="235"/>
      <c r="P101" s="235"/>
      <c r="Q101" s="235">
        <v>455400</v>
      </c>
      <c r="R101" s="235"/>
      <c r="S101" s="235">
        <v>0.55000000000000004</v>
      </c>
      <c r="T101" s="235"/>
      <c r="U101" s="235">
        <v>20</v>
      </c>
      <c r="V101" s="235"/>
      <c r="W101" s="235"/>
      <c r="X101" s="235"/>
      <c r="Y101" s="235"/>
      <c r="Z101" s="235"/>
      <c r="AA101" s="235"/>
      <c r="AB101" s="235"/>
      <c r="AC101" s="235"/>
      <c r="AD101" s="235"/>
      <c r="AE101" s="235"/>
      <c r="AF101" s="235">
        <v>0.34246575299999998</v>
      </c>
      <c r="AG101" s="235">
        <v>825</v>
      </c>
      <c r="AH101" s="235"/>
      <c r="AI101" s="235"/>
      <c r="AJ101" s="235"/>
      <c r="AK101" s="235" t="s">
        <v>598</v>
      </c>
      <c r="AL101" s="235" t="s">
        <v>597</v>
      </c>
      <c r="AM101" s="235">
        <v>16.347073333000001</v>
      </c>
      <c r="AN101" s="235"/>
      <c r="AO101" s="235"/>
      <c r="AP101" s="235"/>
      <c r="AQ101" s="235"/>
      <c r="AR101" s="235"/>
      <c r="AS101" s="235"/>
      <c r="AT101" s="235"/>
      <c r="AU101" s="235"/>
      <c r="AV101" s="235"/>
      <c r="AW101" s="235">
        <v>2475000</v>
      </c>
      <c r="AX101" s="235"/>
      <c r="AY101" s="235">
        <v>49500000</v>
      </c>
      <c r="AZ101" s="235">
        <v>60000000</v>
      </c>
      <c r="BA101" s="235"/>
      <c r="BB101" s="235"/>
      <c r="BC101" s="235"/>
      <c r="BD101" s="235">
        <v>9.1999999999999993</v>
      </c>
      <c r="BE101" s="241"/>
    </row>
    <row r="102" spans="1:57">
      <c r="A102" s="236" t="s">
        <v>605</v>
      </c>
      <c r="B102" s="235" t="s">
        <v>442</v>
      </c>
      <c r="C102" s="235">
        <v>2000</v>
      </c>
      <c r="D102" s="235"/>
      <c r="E102" s="235">
        <v>2000</v>
      </c>
      <c r="F102" s="235"/>
      <c r="G102" s="235"/>
      <c r="H102" s="235">
        <v>600</v>
      </c>
      <c r="I102" s="235">
        <v>1</v>
      </c>
      <c r="J102" s="235"/>
      <c r="K102" s="235"/>
      <c r="L102" s="235" t="s">
        <v>24</v>
      </c>
      <c r="M102" s="235"/>
      <c r="N102" s="235"/>
      <c r="O102" s="235"/>
      <c r="P102" s="235"/>
      <c r="Q102" s="235">
        <v>288000</v>
      </c>
      <c r="R102" s="235"/>
      <c r="S102" s="235">
        <v>0.48</v>
      </c>
      <c r="T102" s="235"/>
      <c r="U102" s="235">
        <v>20</v>
      </c>
      <c r="V102" s="235"/>
      <c r="W102" s="235"/>
      <c r="X102" s="235"/>
      <c r="Y102" s="235"/>
      <c r="Z102" s="235"/>
      <c r="AA102" s="235"/>
      <c r="AB102" s="235"/>
      <c r="AC102" s="235"/>
      <c r="AD102" s="235"/>
      <c r="AE102" s="235"/>
      <c r="AF102" s="235">
        <v>0.114155251</v>
      </c>
      <c r="AG102" s="235">
        <v>600</v>
      </c>
      <c r="AH102" s="235"/>
      <c r="AI102" s="235"/>
      <c r="AJ102" s="235"/>
      <c r="AK102" s="235" t="s">
        <v>598</v>
      </c>
      <c r="AL102" s="235" t="s">
        <v>597</v>
      </c>
      <c r="AM102" s="235">
        <v>16.347073333000001</v>
      </c>
      <c r="AN102" s="235"/>
      <c r="AO102" s="235"/>
      <c r="AP102" s="235"/>
      <c r="AQ102" s="235"/>
      <c r="AR102" s="235"/>
      <c r="AS102" s="235"/>
      <c r="AT102" s="235"/>
      <c r="AU102" s="235"/>
      <c r="AV102" s="235"/>
      <c r="AW102" s="235">
        <v>600000</v>
      </c>
      <c r="AX102" s="235"/>
      <c r="AY102" s="235">
        <v>12000000</v>
      </c>
      <c r="AZ102" s="235">
        <v>20000000</v>
      </c>
      <c r="BA102" s="235"/>
      <c r="BB102" s="235"/>
      <c r="BC102" s="235"/>
      <c r="BD102" s="235">
        <v>24</v>
      </c>
      <c r="BE102" s="241"/>
    </row>
    <row r="103" spans="1:57">
      <c r="A103" s="236" t="s">
        <v>604</v>
      </c>
      <c r="B103" s="235" t="s">
        <v>454</v>
      </c>
      <c r="C103" s="235">
        <v>2000</v>
      </c>
      <c r="D103" s="235"/>
      <c r="E103" s="235">
        <v>2000</v>
      </c>
      <c r="F103" s="235"/>
      <c r="G103" s="235"/>
      <c r="H103" s="235">
        <v>825</v>
      </c>
      <c r="I103" s="235">
        <v>1</v>
      </c>
      <c r="J103" s="235"/>
      <c r="K103" s="235"/>
      <c r="L103" s="235" t="s">
        <v>24</v>
      </c>
      <c r="M103" s="235"/>
      <c r="N103" s="235"/>
      <c r="O103" s="235"/>
      <c r="P103" s="235"/>
      <c r="Q103" s="235">
        <v>445500</v>
      </c>
      <c r="R103" s="235"/>
      <c r="S103" s="235">
        <v>0.54</v>
      </c>
      <c r="T103" s="235"/>
      <c r="U103" s="235">
        <v>20</v>
      </c>
      <c r="V103" s="235"/>
      <c r="W103" s="235"/>
      <c r="X103" s="235"/>
      <c r="Y103" s="235"/>
      <c r="Z103" s="235"/>
      <c r="AA103" s="235"/>
      <c r="AB103" s="235"/>
      <c r="AC103" s="235"/>
      <c r="AD103" s="235"/>
      <c r="AE103" s="235"/>
      <c r="AF103" s="235">
        <v>0.114155251</v>
      </c>
      <c r="AG103" s="235">
        <v>825</v>
      </c>
      <c r="AH103" s="235"/>
      <c r="AI103" s="235"/>
      <c r="AJ103" s="235"/>
      <c r="AK103" s="235" t="s">
        <v>598</v>
      </c>
      <c r="AL103" s="235" t="s">
        <v>597</v>
      </c>
      <c r="AM103" s="235">
        <v>16.347073333000001</v>
      </c>
      <c r="AN103" s="235"/>
      <c r="AO103" s="235"/>
      <c r="AP103" s="235"/>
      <c r="AQ103" s="235"/>
      <c r="AR103" s="235"/>
      <c r="AS103" s="235"/>
      <c r="AT103" s="235"/>
      <c r="AU103" s="235"/>
      <c r="AV103" s="235"/>
      <c r="AW103" s="235">
        <v>825000</v>
      </c>
      <c r="AX103" s="235"/>
      <c r="AY103" s="235">
        <v>16500000</v>
      </c>
      <c r="AZ103" s="235">
        <v>20000000</v>
      </c>
      <c r="BA103" s="235"/>
      <c r="BB103" s="235"/>
      <c r="BC103" s="235"/>
      <c r="BD103" s="235">
        <v>27</v>
      </c>
      <c r="BE103" s="241"/>
    </row>
    <row r="104" spans="1:57">
      <c r="A104" s="236" t="s">
        <v>601</v>
      </c>
      <c r="B104" s="235" t="s">
        <v>444</v>
      </c>
      <c r="C104" s="235">
        <v>2000</v>
      </c>
      <c r="D104" s="235"/>
      <c r="E104" s="235">
        <v>2000</v>
      </c>
      <c r="F104" s="235"/>
      <c r="G104" s="235"/>
      <c r="H104" s="235">
        <v>342.5</v>
      </c>
      <c r="I104" s="235">
        <v>1</v>
      </c>
      <c r="J104" s="235"/>
      <c r="K104" s="235"/>
      <c r="L104" s="235" t="s">
        <v>24</v>
      </c>
      <c r="M104" s="235"/>
      <c r="N104" s="235"/>
      <c r="O104" s="235"/>
      <c r="P104" s="235"/>
      <c r="Q104" s="235">
        <v>270027</v>
      </c>
      <c r="R104" s="235"/>
      <c r="S104" s="235">
        <v>0.79</v>
      </c>
      <c r="T104" s="235"/>
      <c r="U104" s="235">
        <v>25</v>
      </c>
      <c r="V104" s="235"/>
      <c r="W104" s="235"/>
      <c r="X104" s="235"/>
      <c r="Y104" s="235"/>
      <c r="Z104" s="235"/>
      <c r="AA104" s="235"/>
      <c r="AB104" s="235"/>
      <c r="AC104" s="235"/>
      <c r="AD104" s="235"/>
      <c r="AE104" s="235"/>
      <c r="AF104" s="235">
        <v>0.24</v>
      </c>
      <c r="AG104" s="235">
        <v>342.5</v>
      </c>
      <c r="AH104" s="235"/>
      <c r="AI104" s="235"/>
      <c r="AJ104" s="235"/>
      <c r="AK104" s="235" t="s">
        <v>598</v>
      </c>
      <c r="AL104" s="235" t="s">
        <v>597</v>
      </c>
      <c r="AM104" s="235">
        <v>16.347073333000001</v>
      </c>
      <c r="AN104" s="235"/>
      <c r="AO104" s="235"/>
      <c r="AP104" s="235"/>
      <c r="AQ104" s="235"/>
      <c r="AR104" s="235"/>
      <c r="AS104" s="235"/>
      <c r="AT104" s="235"/>
      <c r="AU104" s="235"/>
      <c r="AV104" s="235"/>
      <c r="AW104" s="235">
        <v>720072</v>
      </c>
      <c r="AX104" s="235"/>
      <c r="AY104" s="235">
        <v>18001800</v>
      </c>
      <c r="AZ104" s="235">
        <v>52560000</v>
      </c>
      <c r="BA104" s="235"/>
      <c r="BB104" s="235"/>
      <c r="BC104" s="235"/>
      <c r="BD104" s="235">
        <v>15</v>
      </c>
      <c r="BE104" s="241"/>
    </row>
    <row r="105" spans="1:57">
      <c r="A105" s="239" t="s">
        <v>562</v>
      </c>
      <c r="B105" s="240" t="s">
        <v>428</v>
      </c>
      <c r="C105" s="240">
        <v>2001</v>
      </c>
      <c r="D105" s="240"/>
      <c r="E105" s="240">
        <v>2001</v>
      </c>
      <c r="F105" s="240" t="s">
        <v>109</v>
      </c>
      <c r="G105" s="240" t="s">
        <v>160</v>
      </c>
      <c r="H105" s="240">
        <v>100</v>
      </c>
      <c r="I105" s="240">
        <v>1</v>
      </c>
      <c r="J105" s="240"/>
      <c r="K105" s="240"/>
      <c r="L105" s="240"/>
      <c r="M105" s="240">
        <v>30</v>
      </c>
      <c r="N105" s="240">
        <v>43.5</v>
      </c>
      <c r="O105" s="240"/>
      <c r="P105" s="240">
        <v>12.1</v>
      </c>
      <c r="Q105" s="240">
        <v>300275</v>
      </c>
      <c r="R105" s="240"/>
      <c r="S105" s="240">
        <v>1.77</v>
      </c>
      <c r="T105" s="240"/>
      <c r="U105" s="240">
        <v>25</v>
      </c>
      <c r="V105" s="240"/>
      <c r="W105" s="240"/>
      <c r="X105" s="240">
        <v>6.3</v>
      </c>
      <c r="Y105" s="240"/>
      <c r="Z105" s="240">
        <v>0.56999999999999995</v>
      </c>
      <c r="AA105" s="240"/>
      <c r="AB105" s="240"/>
      <c r="AC105" s="240">
        <v>3.97</v>
      </c>
      <c r="AD105" s="240" t="s">
        <v>343</v>
      </c>
      <c r="AE105" s="240">
        <v>30</v>
      </c>
      <c r="AF105" s="240">
        <v>0.34799999999999998</v>
      </c>
      <c r="AG105" s="240">
        <v>100</v>
      </c>
      <c r="AH105" s="240">
        <v>4354971</v>
      </c>
      <c r="AI105" s="240"/>
      <c r="AJ105" s="240"/>
      <c r="AK105" s="240" t="s">
        <v>689</v>
      </c>
      <c r="AL105" s="240" t="s">
        <v>597</v>
      </c>
      <c r="AM105" s="240">
        <v>23.324155000000001</v>
      </c>
      <c r="AN105" s="240"/>
      <c r="AO105" s="240" t="s">
        <v>340</v>
      </c>
      <c r="AP105" s="240"/>
      <c r="AQ105" s="240">
        <v>1209714</v>
      </c>
      <c r="AR105" s="240"/>
      <c r="AS105" s="240"/>
      <c r="AT105" s="240"/>
      <c r="AU105" s="240"/>
      <c r="AV105" s="240"/>
      <c r="AW105" s="240">
        <v>304848</v>
      </c>
      <c r="AX105" s="240"/>
      <c r="AY105" s="240">
        <v>7621200</v>
      </c>
      <c r="AZ105" s="240">
        <v>76212000</v>
      </c>
      <c r="BA105" s="240"/>
      <c r="BB105" s="240">
        <v>0.16</v>
      </c>
      <c r="BC105" s="240"/>
      <c r="BD105" s="240">
        <v>39.4</v>
      </c>
      <c r="BE105" s="242"/>
    </row>
    <row r="106" spans="1:57">
      <c r="A106" t="s">
        <v>562</v>
      </c>
      <c r="B106" t="s">
        <v>428</v>
      </c>
      <c r="C106">
        <v>2001</v>
      </c>
      <c r="E106">
        <v>2001</v>
      </c>
      <c r="F106" t="s">
        <v>109</v>
      </c>
      <c r="G106" t="s">
        <v>266</v>
      </c>
      <c r="H106">
        <v>500</v>
      </c>
      <c r="I106">
        <v>1</v>
      </c>
      <c r="J106" t="s">
        <v>351</v>
      </c>
      <c r="M106">
        <v>44</v>
      </c>
      <c r="N106">
        <v>12.9</v>
      </c>
      <c r="P106">
        <v>3.6</v>
      </c>
      <c r="U106">
        <v>20</v>
      </c>
      <c r="X106">
        <v>14.5</v>
      </c>
      <c r="Z106">
        <v>0.25</v>
      </c>
      <c r="AC106">
        <v>1.38</v>
      </c>
      <c r="AD106" t="s">
        <v>349</v>
      </c>
      <c r="AE106">
        <v>40.299999999999997</v>
      </c>
      <c r="AF106">
        <v>0.29599999999999999</v>
      </c>
      <c r="AG106">
        <v>500</v>
      </c>
      <c r="AH106">
        <v>6437694</v>
      </c>
      <c r="AK106" t="s">
        <v>689</v>
      </c>
      <c r="AL106" t="s">
        <v>597</v>
      </c>
      <c r="AM106">
        <v>23.324155000000001</v>
      </c>
      <c r="AO106" t="s">
        <v>340</v>
      </c>
      <c r="AQ106">
        <v>1788248</v>
      </c>
      <c r="AW106">
        <v>1296480</v>
      </c>
      <c r="AY106">
        <v>25929600</v>
      </c>
      <c r="AZ106">
        <v>51859200</v>
      </c>
      <c r="BB106">
        <v>7.0000000000000007E-2</v>
      </c>
    </row>
    <row r="107" spans="1:57">
      <c r="A107" t="s">
        <v>642</v>
      </c>
      <c r="B107" t="s">
        <v>446</v>
      </c>
      <c r="C107">
        <v>2001</v>
      </c>
      <c r="E107">
        <v>2001</v>
      </c>
      <c r="H107">
        <v>600</v>
      </c>
      <c r="I107">
        <v>1</v>
      </c>
      <c r="L107" t="s">
        <v>24</v>
      </c>
      <c r="Q107">
        <v>202650</v>
      </c>
      <c r="S107">
        <v>0.34</v>
      </c>
      <c r="U107">
        <v>30</v>
      </c>
      <c r="AF107">
        <v>0.21</v>
      </c>
      <c r="AG107">
        <v>600</v>
      </c>
      <c r="AK107" t="s">
        <v>598</v>
      </c>
      <c r="AL107" t="s">
        <v>597</v>
      </c>
      <c r="AM107">
        <v>23.324155000000001</v>
      </c>
      <c r="AW107">
        <v>1103760</v>
      </c>
      <c r="AY107">
        <v>33112800</v>
      </c>
      <c r="AZ107">
        <v>55188000</v>
      </c>
      <c r="BD107">
        <v>6.12</v>
      </c>
    </row>
    <row r="108" spans="1:57">
      <c r="A108" t="s">
        <v>572</v>
      </c>
      <c r="B108" t="s">
        <v>690</v>
      </c>
      <c r="C108">
        <v>2002</v>
      </c>
      <c r="E108">
        <v>2002</v>
      </c>
      <c r="G108" t="s">
        <v>214</v>
      </c>
      <c r="I108">
        <v>1</v>
      </c>
      <c r="X108">
        <v>80</v>
      </c>
      <c r="Z108">
        <v>0.05</v>
      </c>
      <c r="AD108" t="s">
        <v>381</v>
      </c>
      <c r="AK108" t="s">
        <v>689</v>
      </c>
      <c r="AL108" t="s">
        <v>597</v>
      </c>
      <c r="AM108">
        <v>30.260529999999999</v>
      </c>
      <c r="AO108" t="s">
        <v>356</v>
      </c>
      <c r="BB108">
        <v>0.01</v>
      </c>
      <c r="BD108">
        <v>8.16</v>
      </c>
    </row>
    <row r="109" spans="1:57">
      <c r="A109" t="s">
        <v>621</v>
      </c>
      <c r="B109" t="s">
        <v>433</v>
      </c>
      <c r="C109">
        <v>2002</v>
      </c>
      <c r="E109">
        <v>2002</v>
      </c>
      <c r="H109">
        <v>600</v>
      </c>
      <c r="I109">
        <v>1</v>
      </c>
      <c r="L109" t="s">
        <v>24</v>
      </c>
      <c r="Q109">
        <v>178571</v>
      </c>
      <c r="S109">
        <v>0.3</v>
      </c>
      <c r="U109">
        <v>20</v>
      </c>
      <c r="AF109">
        <v>0.23570001600000001</v>
      </c>
      <c r="AG109">
        <v>600</v>
      </c>
      <c r="AK109" t="s">
        <v>598</v>
      </c>
      <c r="AL109" t="s">
        <v>597</v>
      </c>
      <c r="AM109">
        <v>30.260529999999999</v>
      </c>
      <c r="AW109">
        <v>1238839.2857142901</v>
      </c>
      <c r="AY109">
        <v>24776785.714285702</v>
      </c>
      <c r="AZ109">
        <v>41294642.857142903</v>
      </c>
      <c r="BD109">
        <v>7.21</v>
      </c>
    </row>
    <row r="110" spans="1:57">
      <c r="A110" t="s">
        <v>566</v>
      </c>
      <c r="B110" t="s">
        <v>415</v>
      </c>
      <c r="C110">
        <v>2003</v>
      </c>
      <c r="E110">
        <v>2003</v>
      </c>
      <c r="F110" t="s">
        <v>27</v>
      </c>
      <c r="G110" t="s">
        <v>119</v>
      </c>
      <c r="H110">
        <v>500</v>
      </c>
      <c r="I110">
        <v>1</v>
      </c>
      <c r="U110">
        <v>20</v>
      </c>
      <c r="X110">
        <v>123.5</v>
      </c>
      <c r="Z110">
        <v>0.03</v>
      </c>
      <c r="AC110">
        <v>0.16</v>
      </c>
      <c r="AD110" t="s">
        <v>371</v>
      </c>
      <c r="AG110">
        <v>500</v>
      </c>
      <c r="AK110" t="s">
        <v>689</v>
      </c>
      <c r="AL110" t="s">
        <v>597</v>
      </c>
      <c r="AM110">
        <v>38.113542500000001</v>
      </c>
      <c r="AO110" t="s">
        <v>356</v>
      </c>
      <c r="BB110">
        <v>0.01</v>
      </c>
      <c r="BD110">
        <v>10</v>
      </c>
    </row>
    <row r="111" spans="1:57">
      <c r="A111" t="s">
        <v>566</v>
      </c>
      <c r="B111" t="s">
        <v>415</v>
      </c>
      <c r="C111">
        <v>2003</v>
      </c>
      <c r="E111">
        <v>2003</v>
      </c>
      <c r="F111" t="s">
        <v>27</v>
      </c>
      <c r="G111" t="s">
        <v>119</v>
      </c>
      <c r="H111">
        <v>500</v>
      </c>
      <c r="I111">
        <v>1</v>
      </c>
      <c r="U111">
        <v>20</v>
      </c>
      <c r="X111">
        <v>125.8</v>
      </c>
      <c r="Z111">
        <v>0.03</v>
      </c>
      <c r="AC111">
        <v>0.16</v>
      </c>
      <c r="AD111" t="s">
        <v>371</v>
      </c>
      <c r="AG111">
        <v>500</v>
      </c>
      <c r="AK111" t="s">
        <v>689</v>
      </c>
      <c r="AL111" t="s">
        <v>597</v>
      </c>
      <c r="AM111">
        <v>38.113542500000001</v>
      </c>
      <c r="AO111" t="s">
        <v>356</v>
      </c>
      <c r="BB111">
        <v>0.01</v>
      </c>
      <c r="BD111">
        <v>7.1</v>
      </c>
    </row>
    <row r="112" spans="1:57">
      <c r="A112" t="s">
        <v>566</v>
      </c>
      <c r="B112" t="s">
        <v>415</v>
      </c>
      <c r="C112">
        <v>2003</v>
      </c>
      <c r="E112">
        <v>2003</v>
      </c>
      <c r="F112" t="s">
        <v>27</v>
      </c>
      <c r="G112" t="s">
        <v>119</v>
      </c>
      <c r="H112">
        <v>500</v>
      </c>
      <c r="I112">
        <v>1</v>
      </c>
      <c r="U112">
        <v>20</v>
      </c>
      <c r="X112">
        <v>109.6</v>
      </c>
      <c r="Z112">
        <v>0.03</v>
      </c>
      <c r="AC112">
        <v>0.18</v>
      </c>
      <c r="AD112" t="s">
        <v>371</v>
      </c>
      <c r="AG112">
        <v>500</v>
      </c>
      <c r="AK112" t="s">
        <v>689</v>
      </c>
      <c r="AL112" t="s">
        <v>597</v>
      </c>
      <c r="AM112">
        <v>38.113542500000001</v>
      </c>
      <c r="AO112" t="s">
        <v>356</v>
      </c>
      <c r="BB112">
        <v>0.01</v>
      </c>
      <c r="BD112">
        <v>3.7</v>
      </c>
    </row>
    <row r="113" spans="1:56">
      <c r="A113" t="s">
        <v>640</v>
      </c>
      <c r="B113" t="s">
        <v>417</v>
      </c>
      <c r="C113">
        <v>2003</v>
      </c>
      <c r="E113">
        <v>2003</v>
      </c>
      <c r="H113">
        <v>600</v>
      </c>
      <c r="I113">
        <v>1</v>
      </c>
      <c r="L113" t="s">
        <v>24</v>
      </c>
      <c r="Q113">
        <v>225892</v>
      </c>
      <c r="S113">
        <v>0.38</v>
      </c>
      <c r="U113">
        <v>20</v>
      </c>
      <c r="AF113">
        <v>0.28499999999999998</v>
      </c>
      <c r="AG113">
        <v>600</v>
      </c>
      <c r="AK113" t="s">
        <v>598</v>
      </c>
      <c r="AL113" t="s">
        <v>597</v>
      </c>
      <c r="AM113">
        <v>38.113542500000001</v>
      </c>
      <c r="AW113">
        <v>1497960</v>
      </c>
      <c r="AY113">
        <v>29959200</v>
      </c>
      <c r="AZ113">
        <v>49932000</v>
      </c>
      <c r="BD113">
        <v>7.54</v>
      </c>
    </row>
    <row r="114" spans="1:56">
      <c r="A114" t="s">
        <v>640</v>
      </c>
      <c r="B114" t="s">
        <v>417</v>
      </c>
      <c r="C114">
        <v>2003</v>
      </c>
      <c r="E114">
        <v>2003</v>
      </c>
      <c r="H114">
        <v>2500</v>
      </c>
      <c r="I114">
        <v>1</v>
      </c>
      <c r="L114" t="s">
        <v>24</v>
      </c>
      <c r="Q114">
        <v>1183388</v>
      </c>
      <c r="S114">
        <v>0.47</v>
      </c>
      <c r="U114">
        <v>20</v>
      </c>
      <c r="AF114">
        <v>0.34200000000000003</v>
      </c>
      <c r="AG114">
        <v>2500</v>
      </c>
      <c r="AK114" t="s">
        <v>598</v>
      </c>
      <c r="AL114" t="s">
        <v>597</v>
      </c>
      <c r="AM114">
        <v>38.113542500000001</v>
      </c>
      <c r="AW114">
        <v>7489800</v>
      </c>
      <c r="AY114">
        <v>149796000</v>
      </c>
      <c r="AZ114">
        <v>59918400</v>
      </c>
      <c r="BD114">
        <v>7.9</v>
      </c>
    </row>
    <row r="115" spans="1:56">
      <c r="A115" t="s">
        <v>640</v>
      </c>
      <c r="B115" t="s">
        <v>417</v>
      </c>
      <c r="C115">
        <v>2003</v>
      </c>
      <c r="E115">
        <v>2003</v>
      </c>
      <c r="H115">
        <v>2500</v>
      </c>
      <c r="I115">
        <v>1</v>
      </c>
      <c r="L115" t="s">
        <v>31</v>
      </c>
      <c r="Q115">
        <v>1847532</v>
      </c>
      <c r="S115">
        <v>0.74</v>
      </c>
      <c r="U115">
        <v>20</v>
      </c>
      <c r="AF115">
        <v>0.45700000000000002</v>
      </c>
      <c r="AG115">
        <v>2500</v>
      </c>
      <c r="AK115" t="s">
        <v>598</v>
      </c>
      <c r="AL115" t="s">
        <v>597</v>
      </c>
      <c r="AM115">
        <v>38.113542500000001</v>
      </c>
      <c r="AW115">
        <v>10008300</v>
      </c>
      <c r="AY115">
        <v>200166000</v>
      </c>
      <c r="AZ115">
        <v>80066400</v>
      </c>
      <c r="BD115">
        <v>9.23</v>
      </c>
    </row>
    <row r="116" spans="1:56">
      <c r="A116" t="s">
        <v>640</v>
      </c>
      <c r="B116" t="s">
        <v>417</v>
      </c>
      <c r="C116">
        <v>2003</v>
      </c>
      <c r="E116">
        <v>2003</v>
      </c>
      <c r="H116">
        <v>2500</v>
      </c>
      <c r="I116">
        <v>1</v>
      </c>
      <c r="L116" t="s">
        <v>31</v>
      </c>
      <c r="Q116">
        <v>1897574</v>
      </c>
      <c r="S116">
        <v>0.76</v>
      </c>
      <c r="U116">
        <v>20</v>
      </c>
      <c r="AF116">
        <v>0.45700000000000002</v>
      </c>
      <c r="AG116">
        <v>2500</v>
      </c>
      <c r="AK116" t="s">
        <v>598</v>
      </c>
      <c r="AL116" t="s">
        <v>597</v>
      </c>
      <c r="AM116">
        <v>38.113542500000001</v>
      </c>
      <c r="AW116">
        <v>10008300</v>
      </c>
      <c r="AY116">
        <v>200166000</v>
      </c>
      <c r="AZ116">
        <v>80066400</v>
      </c>
      <c r="BD116">
        <v>9.48</v>
      </c>
    </row>
    <row r="117" spans="1:56">
      <c r="A117" t="s">
        <v>640</v>
      </c>
      <c r="B117" t="s">
        <v>417</v>
      </c>
      <c r="C117">
        <v>2003</v>
      </c>
      <c r="E117">
        <v>2003</v>
      </c>
      <c r="H117">
        <v>2500</v>
      </c>
      <c r="I117">
        <v>1</v>
      </c>
      <c r="L117" t="s">
        <v>31</v>
      </c>
      <c r="Q117">
        <v>1965630</v>
      </c>
      <c r="S117">
        <v>0.79</v>
      </c>
      <c r="U117">
        <v>20</v>
      </c>
      <c r="AF117">
        <v>0.45700000000000002</v>
      </c>
      <c r="AG117">
        <v>2500</v>
      </c>
      <c r="AK117" t="s">
        <v>598</v>
      </c>
      <c r="AL117" t="s">
        <v>597</v>
      </c>
      <c r="AM117">
        <v>38.113542500000001</v>
      </c>
      <c r="AW117">
        <v>10008300</v>
      </c>
      <c r="AY117">
        <v>200166000</v>
      </c>
      <c r="AZ117">
        <v>80066400</v>
      </c>
      <c r="BD117">
        <v>9.82</v>
      </c>
    </row>
    <row r="118" spans="1:56">
      <c r="A118" t="s">
        <v>640</v>
      </c>
      <c r="B118" t="s">
        <v>417</v>
      </c>
      <c r="C118">
        <v>2003</v>
      </c>
      <c r="E118">
        <v>2003</v>
      </c>
      <c r="H118">
        <v>1500</v>
      </c>
      <c r="I118">
        <v>1</v>
      </c>
      <c r="L118" t="s">
        <v>24</v>
      </c>
      <c r="Q118">
        <v>916003</v>
      </c>
      <c r="S118">
        <v>0.61</v>
      </c>
      <c r="U118">
        <v>20</v>
      </c>
      <c r="AF118">
        <v>0.28499999999999998</v>
      </c>
      <c r="AG118">
        <v>1500</v>
      </c>
      <c r="AK118" t="s">
        <v>598</v>
      </c>
      <c r="AL118" t="s">
        <v>597</v>
      </c>
      <c r="AM118">
        <v>38.113542500000001</v>
      </c>
      <c r="AW118">
        <v>3744900</v>
      </c>
      <c r="AY118">
        <v>74898000</v>
      </c>
      <c r="AZ118">
        <v>49932000</v>
      </c>
      <c r="BD118">
        <v>12.23</v>
      </c>
    </row>
    <row r="119" spans="1:56">
      <c r="A119" t="s">
        <v>625</v>
      </c>
      <c r="B119" t="s">
        <v>450</v>
      </c>
      <c r="C119">
        <v>2003</v>
      </c>
      <c r="E119">
        <v>2003</v>
      </c>
      <c r="H119">
        <v>1025</v>
      </c>
      <c r="I119">
        <v>1</v>
      </c>
      <c r="L119" t="s">
        <v>24</v>
      </c>
      <c r="AG119">
        <v>1025</v>
      </c>
      <c r="AK119" t="s">
        <v>598</v>
      </c>
      <c r="AL119" t="s">
        <v>597</v>
      </c>
      <c r="AM119">
        <v>38.113542500000001</v>
      </c>
      <c r="BD119">
        <v>13</v>
      </c>
    </row>
    <row r="120" spans="1:56">
      <c r="A120" t="s">
        <v>620</v>
      </c>
      <c r="B120" t="s">
        <v>433</v>
      </c>
      <c r="C120">
        <v>2003</v>
      </c>
      <c r="E120">
        <v>2003</v>
      </c>
      <c r="H120">
        <v>600</v>
      </c>
      <c r="I120">
        <v>1</v>
      </c>
      <c r="L120" t="s">
        <v>24</v>
      </c>
      <c r="Q120">
        <v>297321</v>
      </c>
      <c r="S120">
        <v>0.5</v>
      </c>
      <c r="U120">
        <v>40</v>
      </c>
      <c r="AF120">
        <v>0.23570001600000001</v>
      </c>
      <c r="AG120">
        <v>600</v>
      </c>
      <c r="AK120" t="s">
        <v>598</v>
      </c>
      <c r="AL120" t="s">
        <v>597</v>
      </c>
      <c r="AM120">
        <v>38.113542500000001</v>
      </c>
      <c r="AW120">
        <v>1238839.2857142901</v>
      </c>
      <c r="AY120">
        <v>49553571.428571403</v>
      </c>
      <c r="AZ120">
        <v>82589285.714285702</v>
      </c>
      <c r="BD120">
        <v>6</v>
      </c>
    </row>
    <row r="121" spans="1:56">
      <c r="A121" t="s">
        <v>620</v>
      </c>
      <c r="B121" t="s">
        <v>433</v>
      </c>
      <c r="C121">
        <v>2003</v>
      </c>
      <c r="E121">
        <v>2003</v>
      </c>
      <c r="H121">
        <v>600</v>
      </c>
      <c r="I121">
        <v>1</v>
      </c>
      <c r="L121" t="s">
        <v>24</v>
      </c>
      <c r="Q121">
        <v>297321</v>
      </c>
      <c r="S121">
        <v>0.5</v>
      </c>
      <c r="U121">
        <v>30</v>
      </c>
      <c r="AF121">
        <v>0.23570001600000001</v>
      </c>
      <c r="AG121">
        <v>600</v>
      </c>
      <c r="AK121" t="s">
        <v>598</v>
      </c>
      <c r="AL121" t="s">
        <v>597</v>
      </c>
      <c r="AM121">
        <v>38.113542500000001</v>
      </c>
      <c r="AW121">
        <v>1238839.2857142901</v>
      </c>
      <c r="AY121">
        <v>37165178.571428597</v>
      </c>
      <c r="AZ121">
        <v>61941964.285714298</v>
      </c>
      <c r="BD121">
        <v>8</v>
      </c>
    </row>
    <row r="122" spans="1:56">
      <c r="A122" t="s">
        <v>620</v>
      </c>
      <c r="B122" t="s">
        <v>433</v>
      </c>
      <c r="C122">
        <v>2003</v>
      </c>
      <c r="E122">
        <v>2003</v>
      </c>
      <c r="H122">
        <v>600</v>
      </c>
      <c r="I122">
        <v>1</v>
      </c>
      <c r="L122" t="s">
        <v>24</v>
      </c>
      <c r="Q122">
        <v>371652</v>
      </c>
      <c r="S122">
        <v>0.62</v>
      </c>
      <c r="U122">
        <v>20</v>
      </c>
      <c r="AF122">
        <v>0.23570001600000001</v>
      </c>
      <c r="AG122">
        <v>600</v>
      </c>
      <c r="AK122" t="s">
        <v>598</v>
      </c>
      <c r="AL122" t="s">
        <v>597</v>
      </c>
      <c r="AM122">
        <v>38.113542500000001</v>
      </c>
      <c r="AW122">
        <v>1238839.2857142901</v>
      </c>
      <c r="AY122">
        <v>24776785.714285702</v>
      </c>
      <c r="AZ122">
        <v>41294642.857142903</v>
      </c>
      <c r="BD122">
        <v>15</v>
      </c>
    </row>
    <row r="123" spans="1:56">
      <c r="A123" t="s">
        <v>620</v>
      </c>
      <c r="B123" t="s">
        <v>433</v>
      </c>
      <c r="C123">
        <v>2003</v>
      </c>
      <c r="E123">
        <v>2003</v>
      </c>
      <c r="H123">
        <v>600</v>
      </c>
      <c r="I123">
        <v>1</v>
      </c>
      <c r="L123" t="s">
        <v>24</v>
      </c>
      <c r="Q123">
        <v>210603</v>
      </c>
      <c r="S123">
        <v>0.35</v>
      </c>
      <c r="U123">
        <v>10</v>
      </c>
      <c r="AF123">
        <v>0.23570001600000001</v>
      </c>
      <c r="AG123">
        <v>600</v>
      </c>
      <c r="AK123" t="s">
        <v>598</v>
      </c>
      <c r="AL123" t="s">
        <v>597</v>
      </c>
      <c r="AM123">
        <v>38.113542500000001</v>
      </c>
      <c r="AW123">
        <v>1238839.2857142901</v>
      </c>
      <c r="AY123">
        <v>12388392.857142899</v>
      </c>
      <c r="AZ123">
        <v>20647321.428571399</v>
      </c>
      <c r="BD123">
        <v>17</v>
      </c>
    </row>
    <row r="124" spans="1:56">
      <c r="A124" t="s">
        <v>609</v>
      </c>
      <c r="B124" t="s">
        <v>452</v>
      </c>
      <c r="C124">
        <v>2003</v>
      </c>
      <c r="E124">
        <v>2003</v>
      </c>
      <c r="H124">
        <v>652.27272727299999</v>
      </c>
      <c r="I124">
        <v>1</v>
      </c>
      <c r="L124" t="s">
        <v>24</v>
      </c>
      <c r="Q124">
        <v>309800</v>
      </c>
      <c r="S124">
        <v>0.47</v>
      </c>
      <c r="U124">
        <v>25</v>
      </c>
      <c r="AF124">
        <v>0.21055749100000001</v>
      </c>
      <c r="AG124">
        <v>652.27272727299999</v>
      </c>
      <c r="AK124" t="s">
        <v>598</v>
      </c>
      <c r="AL124" t="s">
        <v>597</v>
      </c>
      <c r="AM124">
        <v>38.113542500000001</v>
      </c>
      <c r="AW124">
        <v>1203106.36363636</v>
      </c>
      <c r="AY124">
        <v>30077659.090909101</v>
      </c>
      <c r="AZ124">
        <v>46112090.592334501</v>
      </c>
      <c r="BD124">
        <v>10.3</v>
      </c>
    </row>
    <row r="125" spans="1:56">
      <c r="A125" t="s">
        <v>698</v>
      </c>
      <c r="B125" t="s">
        <v>399</v>
      </c>
      <c r="C125">
        <v>2004</v>
      </c>
      <c r="E125">
        <v>2004</v>
      </c>
      <c r="F125" t="s">
        <v>27</v>
      </c>
      <c r="G125" t="s">
        <v>205</v>
      </c>
      <c r="H125">
        <v>2000</v>
      </c>
      <c r="I125">
        <v>8</v>
      </c>
      <c r="L125" t="s">
        <v>24</v>
      </c>
      <c r="M125">
        <v>78</v>
      </c>
      <c r="N125">
        <v>654.4</v>
      </c>
      <c r="P125">
        <v>181.78</v>
      </c>
      <c r="U125">
        <v>20</v>
      </c>
      <c r="X125">
        <v>0.31</v>
      </c>
      <c r="AC125">
        <v>64.52</v>
      </c>
      <c r="AF125">
        <v>0.3216</v>
      </c>
      <c r="AG125">
        <v>16000</v>
      </c>
      <c r="AH125">
        <v>10470410367</v>
      </c>
      <c r="AJ125">
        <v>0.27779999999999999</v>
      </c>
      <c r="AK125" t="s">
        <v>694</v>
      </c>
      <c r="AL125" t="s">
        <v>597</v>
      </c>
      <c r="AM125">
        <v>46.3964675</v>
      </c>
      <c r="AO125" t="s">
        <v>340</v>
      </c>
      <c r="AS125">
        <v>29086800</v>
      </c>
      <c r="AU125">
        <v>1.82</v>
      </c>
      <c r="AW125">
        <v>45075456</v>
      </c>
      <c r="AY125">
        <v>901509120</v>
      </c>
      <c r="AZ125">
        <v>56344320</v>
      </c>
      <c r="BB125">
        <v>3.23</v>
      </c>
    </row>
    <row r="126" spans="1:56">
      <c r="A126" t="s">
        <v>698</v>
      </c>
      <c r="B126" t="s">
        <v>399</v>
      </c>
      <c r="C126">
        <v>2004</v>
      </c>
      <c r="E126">
        <v>2004</v>
      </c>
      <c r="F126" t="s">
        <v>27</v>
      </c>
      <c r="G126" t="s">
        <v>205</v>
      </c>
      <c r="H126">
        <v>2000</v>
      </c>
      <c r="I126">
        <v>80</v>
      </c>
      <c r="L126" t="s">
        <v>31</v>
      </c>
      <c r="M126">
        <v>60</v>
      </c>
      <c r="N126">
        <v>1093.3499999999999</v>
      </c>
      <c r="P126">
        <v>303.70999999999998</v>
      </c>
      <c r="U126">
        <v>20</v>
      </c>
      <c r="X126">
        <v>0.27</v>
      </c>
      <c r="AC126">
        <v>75.11</v>
      </c>
      <c r="AF126">
        <v>0.46160000000000001</v>
      </c>
      <c r="AG126">
        <v>160000</v>
      </c>
      <c r="AH126">
        <v>174936069114</v>
      </c>
      <c r="AJ126">
        <v>0.27779999999999999</v>
      </c>
      <c r="AK126" t="s">
        <v>694</v>
      </c>
      <c r="AL126" t="s">
        <v>597</v>
      </c>
      <c r="AM126">
        <v>46.3964675</v>
      </c>
      <c r="AO126" t="s">
        <v>340</v>
      </c>
      <c r="AS126">
        <v>485972400</v>
      </c>
      <c r="AU126">
        <v>3.04</v>
      </c>
      <c r="AW126">
        <v>646978560</v>
      </c>
      <c r="AY126">
        <v>12939571200</v>
      </c>
      <c r="AZ126">
        <v>80872320</v>
      </c>
      <c r="BB126">
        <v>3.76</v>
      </c>
    </row>
    <row r="127" spans="1:56">
      <c r="A127" t="s">
        <v>567</v>
      </c>
      <c r="B127" t="s">
        <v>413</v>
      </c>
      <c r="C127">
        <v>2004</v>
      </c>
      <c r="E127">
        <v>2004</v>
      </c>
      <c r="F127" t="s">
        <v>27</v>
      </c>
      <c r="G127" t="s">
        <v>212</v>
      </c>
      <c r="H127">
        <v>500</v>
      </c>
      <c r="I127">
        <v>1</v>
      </c>
      <c r="J127" t="s">
        <v>373</v>
      </c>
      <c r="L127" t="s">
        <v>24</v>
      </c>
      <c r="M127">
        <v>44</v>
      </c>
      <c r="N127">
        <v>2.6</v>
      </c>
      <c r="P127">
        <v>0.7</v>
      </c>
      <c r="U127">
        <v>20</v>
      </c>
      <c r="X127">
        <v>70</v>
      </c>
      <c r="Z127">
        <v>0.05</v>
      </c>
      <c r="AC127">
        <v>0.28999999999999998</v>
      </c>
      <c r="AD127" t="s">
        <v>372</v>
      </c>
      <c r="AE127">
        <v>40.299999999999997</v>
      </c>
      <c r="AF127">
        <v>0.28999999999999998</v>
      </c>
      <c r="AG127">
        <v>500</v>
      </c>
      <c r="AH127">
        <v>1306491</v>
      </c>
      <c r="AK127" t="s">
        <v>689</v>
      </c>
      <c r="AL127" t="s">
        <v>597</v>
      </c>
      <c r="AM127">
        <v>46.3964675</v>
      </c>
      <c r="AO127" t="s">
        <v>356</v>
      </c>
      <c r="AQ127">
        <v>362914</v>
      </c>
      <c r="AW127">
        <v>1270200</v>
      </c>
      <c r="AY127">
        <v>25404000</v>
      </c>
      <c r="AZ127">
        <v>50808000</v>
      </c>
      <c r="BB127">
        <v>0.01</v>
      </c>
    </row>
    <row r="128" spans="1:56">
      <c r="A128" t="s">
        <v>567</v>
      </c>
      <c r="B128" t="s">
        <v>413</v>
      </c>
      <c r="C128">
        <v>2004</v>
      </c>
      <c r="E128">
        <v>2004</v>
      </c>
      <c r="F128" t="s">
        <v>27</v>
      </c>
      <c r="G128" t="s">
        <v>212</v>
      </c>
      <c r="H128">
        <v>500</v>
      </c>
      <c r="I128">
        <v>1</v>
      </c>
      <c r="J128" t="s">
        <v>373</v>
      </c>
      <c r="L128" t="s">
        <v>24</v>
      </c>
      <c r="M128">
        <v>55</v>
      </c>
      <c r="N128">
        <v>4.5</v>
      </c>
      <c r="P128">
        <v>1.3</v>
      </c>
      <c r="U128">
        <v>20</v>
      </c>
      <c r="X128">
        <v>53</v>
      </c>
      <c r="Z128">
        <v>7.0000000000000007E-2</v>
      </c>
      <c r="AC128">
        <v>0.38</v>
      </c>
      <c r="AD128" t="s">
        <v>372</v>
      </c>
      <c r="AE128">
        <v>40.299999999999997</v>
      </c>
      <c r="AF128">
        <v>0.38</v>
      </c>
      <c r="AG128">
        <v>500</v>
      </c>
      <c r="AH128">
        <v>2261072</v>
      </c>
      <c r="AK128" t="s">
        <v>689</v>
      </c>
      <c r="AL128" t="s">
        <v>597</v>
      </c>
      <c r="AM128">
        <v>46.3964675</v>
      </c>
      <c r="AO128" t="s">
        <v>356</v>
      </c>
      <c r="AQ128">
        <v>628075</v>
      </c>
      <c r="AW128">
        <v>1664400</v>
      </c>
      <c r="AY128">
        <v>33288000</v>
      </c>
      <c r="AZ128">
        <v>66576000</v>
      </c>
      <c r="BB128">
        <v>0.02</v>
      </c>
    </row>
    <row r="129" spans="1:56">
      <c r="A129" t="s">
        <v>567</v>
      </c>
      <c r="B129" t="s">
        <v>413</v>
      </c>
      <c r="C129">
        <v>2004</v>
      </c>
      <c r="E129">
        <v>2004</v>
      </c>
      <c r="F129" t="s">
        <v>27</v>
      </c>
      <c r="G129" t="s">
        <v>212</v>
      </c>
      <c r="H129">
        <v>500</v>
      </c>
      <c r="I129">
        <v>1</v>
      </c>
      <c r="J129" t="s">
        <v>373</v>
      </c>
      <c r="L129" t="s">
        <v>24</v>
      </c>
      <c r="M129">
        <v>65</v>
      </c>
      <c r="N129">
        <v>8.8000000000000007</v>
      </c>
      <c r="P129">
        <v>2.4</v>
      </c>
      <c r="U129">
        <v>20</v>
      </c>
      <c r="X129">
        <v>38</v>
      </c>
      <c r="Z129">
        <v>0.09</v>
      </c>
      <c r="AC129">
        <v>0.53</v>
      </c>
      <c r="AD129" t="s">
        <v>372</v>
      </c>
      <c r="AE129">
        <v>40.299999999999997</v>
      </c>
      <c r="AF129">
        <v>0.53</v>
      </c>
      <c r="AG129">
        <v>500</v>
      </c>
      <c r="AH129">
        <v>4398442</v>
      </c>
      <c r="AK129" t="s">
        <v>689</v>
      </c>
      <c r="AL129" t="s">
        <v>597</v>
      </c>
      <c r="AM129">
        <v>46.3964675</v>
      </c>
      <c r="AO129" t="s">
        <v>356</v>
      </c>
      <c r="AQ129">
        <v>1221789</v>
      </c>
      <c r="AW129">
        <v>2321400</v>
      </c>
      <c r="AY129">
        <v>46428000</v>
      </c>
      <c r="AZ129">
        <v>92856000</v>
      </c>
      <c r="BB129">
        <v>0.03</v>
      </c>
    </row>
    <row r="130" spans="1:56">
      <c r="A130" t="s">
        <v>567</v>
      </c>
      <c r="B130" t="s">
        <v>413</v>
      </c>
      <c r="C130">
        <v>2004</v>
      </c>
      <c r="E130">
        <v>2004</v>
      </c>
      <c r="F130" t="s">
        <v>27</v>
      </c>
      <c r="G130" t="s">
        <v>212</v>
      </c>
      <c r="H130">
        <v>1500</v>
      </c>
      <c r="I130">
        <v>1</v>
      </c>
      <c r="J130" t="s">
        <v>376</v>
      </c>
      <c r="L130" t="s">
        <v>24</v>
      </c>
      <c r="M130">
        <v>67</v>
      </c>
      <c r="N130">
        <v>3.2</v>
      </c>
      <c r="P130">
        <v>0.9</v>
      </c>
      <c r="U130">
        <v>20</v>
      </c>
      <c r="X130">
        <v>64</v>
      </c>
      <c r="Z130">
        <v>0.06</v>
      </c>
      <c r="AC130">
        <v>0.31</v>
      </c>
      <c r="AD130" t="s">
        <v>372</v>
      </c>
      <c r="AE130">
        <v>66</v>
      </c>
      <c r="AF130">
        <v>0.32</v>
      </c>
      <c r="AG130">
        <v>1500</v>
      </c>
      <c r="AH130">
        <v>4730400</v>
      </c>
      <c r="AK130" t="s">
        <v>689</v>
      </c>
      <c r="AL130" t="s">
        <v>597</v>
      </c>
      <c r="AM130">
        <v>46.3964675</v>
      </c>
      <c r="AO130" t="s">
        <v>356</v>
      </c>
      <c r="AQ130">
        <v>1314000</v>
      </c>
      <c r="AW130">
        <v>4204800</v>
      </c>
      <c r="AY130">
        <v>84096000</v>
      </c>
      <c r="AZ130">
        <v>56064000</v>
      </c>
      <c r="BB130">
        <v>0.02</v>
      </c>
    </row>
    <row r="131" spans="1:56">
      <c r="A131" t="s">
        <v>567</v>
      </c>
      <c r="B131" t="s">
        <v>413</v>
      </c>
      <c r="C131">
        <v>2004</v>
      </c>
      <c r="E131">
        <v>2004</v>
      </c>
      <c r="F131" t="s">
        <v>27</v>
      </c>
      <c r="G131" t="s">
        <v>212</v>
      </c>
      <c r="H131">
        <v>1500</v>
      </c>
      <c r="I131">
        <v>1</v>
      </c>
      <c r="J131" t="s">
        <v>376</v>
      </c>
      <c r="L131" t="s">
        <v>24</v>
      </c>
      <c r="M131">
        <v>67</v>
      </c>
      <c r="N131">
        <v>5</v>
      </c>
      <c r="P131">
        <v>1.4</v>
      </c>
      <c r="U131">
        <v>20</v>
      </c>
      <c r="X131">
        <v>50</v>
      </c>
      <c r="Z131">
        <v>7.0000000000000007E-2</v>
      </c>
      <c r="AC131">
        <v>0.4</v>
      </c>
      <c r="AD131" t="s">
        <v>372</v>
      </c>
      <c r="AE131">
        <v>66</v>
      </c>
      <c r="AF131">
        <v>0.4</v>
      </c>
      <c r="AG131">
        <v>1500</v>
      </c>
      <c r="AH131">
        <v>7568640</v>
      </c>
      <c r="AK131" t="s">
        <v>689</v>
      </c>
      <c r="AL131" t="s">
        <v>597</v>
      </c>
      <c r="AM131">
        <v>46.3964675</v>
      </c>
      <c r="AO131" t="s">
        <v>356</v>
      </c>
      <c r="AQ131">
        <v>2102400</v>
      </c>
      <c r="AW131">
        <v>5256000</v>
      </c>
      <c r="AY131">
        <v>105120000</v>
      </c>
      <c r="AZ131">
        <v>70080000</v>
      </c>
      <c r="BB131">
        <v>0.02</v>
      </c>
    </row>
    <row r="132" spans="1:56">
      <c r="A132" t="s">
        <v>567</v>
      </c>
      <c r="B132" t="s">
        <v>413</v>
      </c>
      <c r="C132">
        <v>2004</v>
      </c>
      <c r="E132">
        <v>2004</v>
      </c>
      <c r="F132" t="s">
        <v>27</v>
      </c>
      <c r="G132" t="s">
        <v>212</v>
      </c>
      <c r="H132">
        <v>1500</v>
      </c>
      <c r="I132">
        <v>1</v>
      </c>
      <c r="J132" t="s">
        <v>376</v>
      </c>
      <c r="L132" t="s">
        <v>24</v>
      </c>
      <c r="M132">
        <v>67</v>
      </c>
      <c r="N132">
        <v>8.4</v>
      </c>
      <c r="P132">
        <v>2.2999999999999998</v>
      </c>
      <c r="U132">
        <v>20</v>
      </c>
      <c r="X132">
        <v>39</v>
      </c>
      <c r="Z132">
        <v>0.09</v>
      </c>
      <c r="AC132">
        <v>0.51</v>
      </c>
      <c r="AD132" t="s">
        <v>372</v>
      </c>
      <c r="AE132">
        <v>66</v>
      </c>
      <c r="AF132">
        <v>0.52</v>
      </c>
      <c r="AG132">
        <v>1500</v>
      </c>
      <c r="AH132">
        <v>12614400</v>
      </c>
      <c r="AK132" t="s">
        <v>689</v>
      </c>
      <c r="AL132" t="s">
        <v>597</v>
      </c>
      <c r="AM132">
        <v>46.3964675</v>
      </c>
      <c r="AO132" t="s">
        <v>356</v>
      </c>
      <c r="AQ132">
        <v>3504000</v>
      </c>
      <c r="AW132">
        <v>6832800</v>
      </c>
      <c r="AY132">
        <v>136656000</v>
      </c>
      <c r="AZ132">
        <v>91104000</v>
      </c>
      <c r="BB132">
        <v>0.03</v>
      </c>
    </row>
    <row r="133" spans="1:56">
      <c r="A133" t="s">
        <v>568</v>
      </c>
      <c r="B133" t="s">
        <v>692</v>
      </c>
      <c r="C133">
        <v>2004</v>
      </c>
      <c r="E133">
        <v>2004</v>
      </c>
      <c r="F133" t="s">
        <v>27</v>
      </c>
      <c r="G133" t="s">
        <v>212</v>
      </c>
      <c r="H133">
        <v>5000</v>
      </c>
      <c r="I133">
        <v>1</v>
      </c>
      <c r="J133" t="s">
        <v>691</v>
      </c>
      <c r="L133" t="s">
        <v>31</v>
      </c>
      <c r="M133">
        <v>95</v>
      </c>
      <c r="N133">
        <v>21.3</v>
      </c>
      <c r="P133">
        <v>5.9</v>
      </c>
      <c r="U133">
        <v>20</v>
      </c>
      <c r="X133">
        <v>14.8</v>
      </c>
      <c r="Z133">
        <v>0.24</v>
      </c>
      <c r="AC133">
        <v>0.33</v>
      </c>
      <c r="AD133" t="s">
        <v>33</v>
      </c>
      <c r="AE133">
        <v>126.5</v>
      </c>
      <c r="AF133">
        <v>0.5</v>
      </c>
      <c r="AG133">
        <v>5000</v>
      </c>
      <c r="AH133">
        <v>106540541</v>
      </c>
      <c r="AK133" t="s">
        <v>689</v>
      </c>
      <c r="AL133" t="s">
        <v>597</v>
      </c>
      <c r="AM133">
        <v>46.3964675</v>
      </c>
      <c r="AO133" t="s">
        <v>356</v>
      </c>
      <c r="AQ133">
        <v>29594595</v>
      </c>
      <c r="AW133">
        <v>21900000</v>
      </c>
      <c r="AY133">
        <v>438000000</v>
      </c>
      <c r="AZ133">
        <v>87600000</v>
      </c>
      <c r="BB133">
        <v>7.0000000000000007E-2</v>
      </c>
    </row>
    <row r="134" spans="1:56">
      <c r="A134" t="s">
        <v>570</v>
      </c>
      <c r="B134" t="s">
        <v>428</v>
      </c>
      <c r="C134">
        <v>2004</v>
      </c>
      <c r="E134">
        <v>2004</v>
      </c>
      <c r="F134" t="s">
        <v>74</v>
      </c>
      <c r="G134" t="s">
        <v>212</v>
      </c>
      <c r="H134">
        <v>500</v>
      </c>
      <c r="I134">
        <v>1</v>
      </c>
      <c r="J134" t="s">
        <v>373</v>
      </c>
      <c r="L134" t="s">
        <v>24</v>
      </c>
      <c r="M134">
        <v>44</v>
      </c>
      <c r="X134">
        <v>8.4</v>
      </c>
      <c r="Z134">
        <v>0.43</v>
      </c>
      <c r="AD134" t="s">
        <v>33</v>
      </c>
      <c r="AE134">
        <v>40.299999999999997</v>
      </c>
      <c r="AG134">
        <v>500</v>
      </c>
      <c r="AK134" t="s">
        <v>689</v>
      </c>
      <c r="AL134" t="s">
        <v>597</v>
      </c>
      <c r="AM134">
        <v>46.3964675</v>
      </c>
      <c r="AO134" t="s">
        <v>356</v>
      </c>
      <c r="BB134">
        <v>0.12</v>
      </c>
      <c r="BD134">
        <v>45</v>
      </c>
    </row>
    <row r="135" spans="1:56">
      <c r="A135" t="s">
        <v>570</v>
      </c>
      <c r="B135" t="s">
        <v>428</v>
      </c>
      <c r="C135">
        <v>2004</v>
      </c>
      <c r="E135">
        <v>2004</v>
      </c>
      <c r="F135" t="s">
        <v>74</v>
      </c>
      <c r="G135" t="s">
        <v>212</v>
      </c>
      <c r="H135">
        <v>500</v>
      </c>
      <c r="I135">
        <v>1</v>
      </c>
      <c r="J135" t="s">
        <v>373</v>
      </c>
      <c r="L135" t="s">
        <v>24</v>
      </c>
      <c r="M135">
        <v>55</v>
      </c>
      <c r="X135">
        <v>7.8</v>
      </c>
      <c r="Z135">
        <v>0.46</v>
      </c>
      <c r="AD135" t="s">
        <v>33</v>
      </c>
      <c r="AE135">
        <v>40.299999999999997</v>
      </c>
      <c r="AG135">
        <v>500</v>
      </c>
      <c r="AK135" t="s">
        <v>689</v>
      </c>
      <c r="AL135" t="s">
        <v>597</v>
      </c>
      <c r="AM135">
        <v>46.3964675</v>
      </c>
      <c r="AO135" t="s">
        <v>356</v>
      </c>
      <c r="BB135">
        <v>0.13</v>
      </c>
      <c r="BD135">
        <v>48</v>
      </c>
    </row>
    <row r="136" spans="1:56">
      <c r="A136" t="s">
        <v>570</v>
      </c>
      <c r="B136" t="s">
        <v>428</v>
      </c>
      <c r="C136">
        <v>2004</v>
      </c>
      <c r="E136">
        <v>2004</v>
      </c>
      <c r="F136" t="s">
        <v>74</v>
      </c>
      <c r="G136" t="s">
        <v>212</v>
      </c>
      <c r="H136">
        <v>500</v>
      </c>
      <c r="I136">
        <v>1</v>
      </c>
      <c r="J136" t="s">
        <v>373</v>
      </c>
      <c r="L136" t="s">
        <v>24</v>
      </c>
      <c r="M136">
        <v>55</v>
      </c>
      <c r="X136">
        <v>6.2</v>
      </c>
      <c r="Z136">
        <v>0.57999999999999996</v>
      </c>
      <c r="AD136" t="s">
        <v>33</v>
      </c>
      <c r="AE136">
        <v>40.299999999999997</v>
      </c>
      <c r="AG136">
        <v>500</v>
      </c>
      <c r="AK136" t="s">
        <v>689</v>
      </c>
      <c r="AL136" t="s">
        <v>597</v>
      </c>
      <c r="AM136">
        <v>46.3964675</v>
      </c>
      <c r="AO136" t="s">
        <v>356</v>
      </c>
      <c r="BB136">
        <v>0.16</v>
      </c>
      <c r="BD136">
        <v>61</v>
      </c>
    </row>
    <row r="137" spans="1:56">
      <c r="A137" t="s">
        <v>570</v>
      </c>
      <c r="B137" t="s">
        <v>428</v>
      </c>
      <c r="C137">
        <v>2004</v>
      </c>
      <c r="E137">
        <v>2004</v>
      </c>
      <c r="F137" t="s">
        <v>74</v>
      </c>
      <c r="G137" t="s">
        <v>212</v>
      </c>
      <c r="H137">
        <v>500</v>
      </c>
      <c r="I137">
        <v>1</v>
      </c>
      <c r="J137" t="s">
        <v>373</v>
      </c>
      <c r="L137" t="s">
        <v>24</v>
      </c>
      <c r="M137">
        <v>55</v>
      </c>
      <c r="X137">
        <v>4.7</v>
      </c>
      <c r="Z137">
        <v>0.77</v>
      </c>
      <c r="AD137" t="s">
        <v>33</v>
      </c>
      <c r="AE137">
        <v>40.299999999999997</v>
      </c>
      <c r="AG137">
        <v>500</v>
      </c>
      <c r="AK137" t="s">
        <v>689</v>
      </c>
      <c r="AL137" t="s">
        <v>597</v>
      </c>
      <c r="AM137">
        <v>46.3964675</v>
      </c>
      <c r="AO137" t="s">
        <v>356</v>
      </c>
      <c r="BB137">
        <v>0.21</v>
      </c>
      <c r="BD137">
        <v>81</v>
      </c>
    </row>
    <row r="138" spans="1:56">
      <c r="A138" t="s">
        <v>570</v>
      </c>
      <c r="B138" t="s">
        <v>428</v>
      </c>
      <c r="C138">
        <v>2004</v>
      </c>
      <c r="E138">
        <v>2004</v>
      </c>
      <c r="F138" t="s">
        <v>74</v>
      </c>
      <c r="G138" t="s">
        <v>212</v>
      </c>
      <c r="H138">
        <v>500</v>
      </c>
      <c r="I138">
        <v>1</v>
      </c>
      <c r="J138" t="s">
        <v>373</v>
      </c>
      <c r="L138" t="s">
        <v>24</v>
      </c>
      <c r="M138">
        <v>65</v>
      </c>
      <c r="X138">
        <v>4.9000000000000004</v>
      </c>
      <c r="Z138">
        <v>0.73</v>
      </c>
      <c r="AD138" t="s">
        <v>33</v>
      </c>
      <c r="AE138">
        <v>40.299999999999997</v>
      </c>
      <c r="AG138">
        <v>500</v>
      </c>
      <c r="AK138" t="s">
        <v>689</v>
      </c>
      <c r="AL138" t="s">
        <v>597</v>
      </c>
      <c r="AM138">
        <v>46.3964675</v>
      </c>
      <c r="AO138" t="s">
        <v>356</v>
      </c>
      <c r="BB138">
        <v>0.2</v>
      </c>
      <c r="BD138">
        <v>77</v>
      </c>
    </row>
    <row r="139" spans="1:56">
      <c r="A139" t="s">
        <v>570</v>
      </c>
      <c r="B139" t="s">
        <v>428</v>
      </c>
      <c r="C139">
        <v>2004</v>
      </c>
      <c r="E139">
        <v>2004</v>
      </c>
      <c r="F139" t="s">
        <v>74</v>
      </c>
      <c r="G139" t="s">
        <v>378</v>
      </c>
      <c r="H139">
        <v>500</v>
      </c>
      <c r="I139">
        <v>1</v>
      </c>
      <c r="J139" t="s">
        <v>373</v>
      </c>
      <c r="L139" t="s">
        <v>24</v>
      </c>
      <c r="M139">
        <v>44</v>
      </c>
      <c r="X139">
        <v>22.5</v>
      </c>
      <c r="Z139">
        <v>0.16</v>
      </c>
      <c r="AD139" t="s">
        <v>33</v>
      </c>
      <c r="AE139">
        <v>40.299999999999997</v>
      </c>
      <c r="AG139">
        <v>500</v>
      </c>
      <c r="AK139" t="s">
        <v>689</v>
      </c>
      <c r="AL139" t="s">
        <v>597</v>
      </c>
      <c r="AM139">
        <v>46.3964675</v>
      </c>
      <c r="AO139" t="s">
        <v>356</v>
      </c>
      <c r="BB139">
        <v>0.04</v>
      </c>
      <c r="BD139">
        <v>15</v>
      </c>
    </row>
    <row r="140" spans="1:56">
      <c r="A140" t="s">
        <v>570</v>
      </c>
      <c r="B140" t="s">
        <v>428</v>
      </c>
      <c r="C140">
        <v>2004</v>
      </c>
      <c r="E140">
        <v>2004</v>
      </c>
      <c r="F140" t="s">
        <v>74</v>
      </c>
      <c r="G140" t="s">
        <v>378</v>
      </c>
      <c r="H140">
        <v>500</v>
      </c>
      <c r="I140">
        <v>1</v>
      </c>
      <c r="J140" t="s">
        <v>373</v>
      </c>
      <c r="L140" t="s">
        <v>24</v>
      </c>
      <c r="M140">
        <v>55</v>
      </c>
      <c r="X140">
        <v>21.2</v>
      </c>
      <c r="Z140">
        <v>0.17</v>
      </c>
      <c r="AD140" t="s">
        <v>33</v>
      </c>
      <c r="AE140">
        <v>40.299999999999997</v>
      </c>
      <c r="AG140">
        <v>500</v>
      </c>
      <c r="AK140" t="s">
        <v>689</v>
      </c>
      <c r="AL140" t="s">
        <v>597</v>
      </c>
      <c r="AM140">
        <v>46.3964675</v>
      </c>
      <c r="AO140" t="s">
        <v>356</v>
      </c>
      <c r="BB140">
        <v>0.05</v>
      </c>
      <c r="BD140">
        <v>16</v>
      </c>
    </row>
    <row r="141" spans="1:56">
      <c r="A141" t="s">
        <v>570</v>
      </c>
      <c r="B141" t="s">
        <v>428</v>
      </c>
      <c r="C141">
        <v>2004</v>
      </c>
      <c r="E141">
        <v>2004</v>
      </c>
      <c r="F141" t="s">
        <v>74</v>
      </c>
      <c r="G141" t="s">
        <v>378</v>
      </c>
      <c r="H141">
        <v>500</v>
      </c>
      <c r="I141">
        <v>1</v>
      </c>
      <c r="J141" t="s">
        <v>373</v>
      </c>
      <c r="L141" t="s">
        <v>24</v>
      </c>
      <c r="M141">
        <v>55</v>
      </c>
      <c r="X141">
        <v>16.399999999999999</v>
      </c>
      <c r="Z141">
        <v>0.22</v>
      </c>
      <c r="AD141" t="s">
        <v>33</v>
      </c>
      <c r="AE141">
        <v>40.299999999999997</v>
      </c>
      <c r="AG141">
        <v>500</v>
      </c>
      <c r="AK141" t="s">
        <v>689</v>
      </c>
      <c r="AL141" t="s">
        <v>597</v>
      </c>
      <c r="AM141">
        <v>46.3964675</v>
      </c>
      <c r="AO141" t="s">
        <v>356</v>
      </c>
      <c r="BB141">
        <v>0.06</v>
      </c>
      <c r="BD141">
        <v>20</v>
      </c>
    </row>
    <row r="142" spans="1:56">
      <c r="A142" t="s">
        <v>570</v>
      </c>
      <c r="B142" t="s">
        <v>428</v>
      </c>
      <c r="C142">
        <v>2004</v>
      </c>
      <c r="E142">
        <v>2004</v>
      </c>
      <c r="F142" t="s">
        <v>74</v>
      </c>
      <c r="G142" t="s">
        <v>378</v>
      </c>
      <c r="H142">
        <v>500</v>
      </c>
      <c r="I142">
        <v>1</v>
      </c>
      <c r="J142" t="s">
        <v>373</v>
      </c>
      <c r="L142" t="s">
        <v>24</v>
      </c>
      <c r="M142">
        <v>55</v>
      </c>
      <c r="X142">
        <v>12</v>
      </c>
      <c r="Z142">
        <v>0.3</v>
      </c>
      <c r="AD142" t="s">
        <v>33</v>
      </c>
      <c r="AE142">
        <v>40.299999999999997</v>
      </c>
      <c r="AG142">
        <v>500</v>
      </c>
      <c r="AK142" t="s">
        <v>689</v>
      </c>
      <c r="AL142" t="s">
        <v>597</v>
      </c>
      <c r="AM142">
        <v>46.3964675</v>
      </c>
      <c r="AO142" t="s">
        <v>356</v>
      </c>
      <c r="BB142">
        <v>0.08</v>
      </c>
      <c r="BD142">
        <v>27</v>
      </c>
    </row>
    <row r="143" spans="1:56">
      <c r="A143" t="s">
        <v>570</v>
      </c>
      <c r="B143" t="s">
        <v>428</v>
      </c>
      <c r="C143">
        <v>2004</v>
      </c>
      <c r="E143">
        <v>2004</v>
      </c>
      <c r="F143" t="s">
        <v>74</v>
      </c>
      <c r="G143" t="s">
        <v>378</v>
      </c>
      <c r="H143">
        <v>500</v>
      </c>
      <c r="I143">
        <v>1</v>
      </c>
      <c r="J143" t="s">
        <v>373</v>
      </c>
      <c r="L143" t="s">
        <v>24</v>
      </c>
      <c r="M143">
        <v>65</v>
      </c>
      <c r="X143">
        <v>12.4</v>
      </c>
      <c r="Z143">
        <v>0.28999999999999998</v>
      </c>
      <c r="AD143" t="s">
        <v>33</v>
      </c>
      <c r="AE143">
        <v>40.299999999999997</v>
      </c>
      <c r="AG143">
        <v>500</v>
      </c>
      <c r="AK143" t="s">
        <v>689</v>
      </c>
      <c r="AL143" t="s">
        <v>597</v>
      </c>
      <c r="AM143">
        <v>46.3964675</v>
      </c>
      <c r="AO143" t="s">
        <v>356</v>
      </c>
      <c r="BB143">
        <v>0.08</v>
      </c>
      <c r="BD143">
        <v>26</v>
      </c>
    </row>
    <row r="144" spans="1:56">
      <c r="A144" t="s">
        <v>570</v>
      </c>
      <c r="B144" t="s">
        <v>428</v>
      </c>
      <c r="C144">
        <v>2004</v>
      </c>
      <c r="E144">
        <v>2004</v>
      </c>
      <c r="F144" t="s">
        <v>74</v>
      </c>
      <c r="G144" t="s">
        <v>378</v>
      </c>
      <c r="H144">
        <v>500</v>
      </c>
      <c r="I144">
        <v>1</v>
      </c>
      <c r="J144" t="s">
        <v>373</v>
      </c>
      <c r="L144" t="s">
        <v>24</v>
      </c>
      <c r="M144">
        <v>44</v>
      </c>
      <c r="X144">
        <v>27.7</v>
      </c>
      <c r="Z144">
        <v>0.13</v>
      </c>
      <c r="AD144" t="s">
        <v>33</v>
      </c>
      <c r="AE144">
        <v>40.299999999999997</v>
      </c>
      <c r="AG144">
        <v>500</v>
      </c>
      <c r="AK144" t="s">
        <v>689</v>
      </c>
      <c r="AL144" t="s">
        <v>597</v>
      </c>
      <c r="AM144">
        <v>46.3964675</v>
      </c>
      <c r="AO144" t="s">
        <v>356</v>
      </c>
      <c r="BB144">
        <v>0.04</v>
      </c>
      <c r="BD144">
        <v>8</v>
      </c>
    </row>
    <row r="145" spans="1:56">
      <c r="A145" t="s">
        <v>570</v>
      </c>
      <c r="B145" t="s">
        <v>428</v>
      </c>
      <c r="C145">
        <v>2004</v>
      </c>
      <c r="E145">
        <v>2004</v>
      </c>
      <c r="F145" t="s">
        <v>74</v>
      </c>
      <c r="G145" t="s">
        <v>378</v>
      </c>
      <c r="H145">
        <v>500</v>
      </c>
      <c r="I145">
        <v>1</v>
      </c>
      <c r="J145" t="s">
        <v>373</v>
      </c>
      <c r="L145" t="s">
        <v>24</v>
      </c>
      <c r="M145">
        <v>55</v>
      </c>
      <c r="X145">
        <v>25.7</v>
      </c>
      <c r="Z145">
        <v>0.14000000000000001</v>
      </c>
      <c r="AD145" t="s">
        <v>33</v>
      </c>
      <c r="AE145">
        <v>40.299999999999997</v>
      </c>
      <c r="AG145">
        <v>500</v>
      </c>
      <c r="AK145" t="s">
        <v>689</v>
      </c>
      <c r="AL145" t="s">
        <v>597</v>
      </c>
      <c r="AM145">
        <v>46.3964675</v>
      </c>
      <c r="AO145" t="s">
        <v>356</v>
      </c>
      <c r="BB145">
        <v>0.04</v>
      </c>
      <c r="BD145">
        <v>8</v>
      </c>
    </row>
    <row r="146" spans="1:56">
      <c r="A146" t="s">
        <v>570</v>
      </c>
      <c r="B146" t="s">
        <v>428</v>
      </c>
      <c r="C146">
        <v>2004</v>
      </c>
      <c r="E146">
        <v>2004</v>
      </c>
      <c r="F146" t="s">
        <v>74</v>
      </c>
      <c r="G146" t="s">
        <v>378</v>
      </c>
      <c r="H146">
        <v>500</v>
      </c>
      <c r="I146">
        <v>1</v>
      </c>
      <c r="J146" t="s">
        <v>373</v>
      </c>
      <c r="L146" t="s">
        <v>24</v>
      </c>
      <c r="M146">
        <v>55</v>
      </c>
      <c r="X146">
        <v>20</v>
      </c>
      <c r="Z146">
        <v>0.18</v>
      </c>
      <c r="AD146" t="s">
        <v>33</v>
      </c>
      <c r="AE146">
        <v>40.299999999999997</v>
      </c>
      <c r="AG146">
        <v>500</v>
      </c>
      <c r="AK146" t="s">
        <v>689</v>
      </c>
      <c r="AL146" t="s">
        <v>597</v>
      </c>
      <c r="AM146">
        <v>46.3964675</v>
      </c>
      <c r="AO146" t="s">
        <v>356</v>
      </c>
      <c r="BB146">
        <v>0.05</v>
      </c>
      <c r="BD146">
        <v>10</v>
      </c>
    </row>
    <row r="147" spans="1:56">
      <c r="A147" t="s">
        <v>570</v>
      </c>
      <c r="B147" t="s">
        <v>428</v>
      </c>
      <c r="C147">
        <v>2004</v>
      </c>
      <c r="E147">
        <v>2004</v>
      </c>
      <c r="F147" t="s">
        <v>74</v>
      </c>
      <c r="G147" t="s">
        <v>378</v>
      </c>
      <c r="H147">
        <v>500</v>
      </c>
      <c r="I147">
        <v>1</v>
      </c>
      <c r="J147" t="s">
        <v>373</v>
      </c>
      <c r="L147" t="s">
        <v>24</v>
      </c>
      <c r="M147">
        <v>55</v>
      </c>
      <c r="X147">
        <v>15.6</v>
      </c>
      <c r="Z147">
        <v>0.23</v>
      </c>
      <c r="AD147" t="s">
        <v>33</v>
      </c>
      <c r="AE147">
        <v>40.299999999999997</v>
      </c>
      <c r="AG147">
        <v>500</v>
      </c>
      <c r="AK147" t="s">
        <v>689</v>
      </c>
      <c r="AL147" t="s">
        <v>597</v>
      </c>
      <c r="AM147">
        <v>46.3964675</v>
      </c>
      <c r="AO147" t="s">
        <v>356</v>
      </c>
      <c r="BB147">
        <v>0.06</v>
      </c>
      <c r="BD147">
        <v>13</v>
      </c>
    </row>
    <row r="148" spans="1:56">
      <c r="A148" t="s">
        <v>570</v>
      </c>
      <c r="B148" t="s">
        <v>428</v>
      </c>
      <c r="C148">
        <v>2004</v>
      </c>
      <c r="E148">
        <v>2004</v>
      </c>
      <c r="F148" t="s">
        <v>74</v>
      </c>
      <c r="G148" t="s">
        <v>378</v>
      </c>
      <c r="H148">
        <v>500</v>
      </c>
      <c r="I148">
        <v>1</v>
      </c>
      <c r="J148" t="s">
        <v>373</v>
      </c>
      <c r="L148" t="s">
        <v>24</v>
      </c>
      <c r="M148">
        <v>65</v>
      </c>
      <c r="X148">
        <v>16.399999999999999</v>
      </c>
      <c r="Z148">
        <v>0.22</v>
      </c>
      <c r="AD148" t="s">
        <v>33</v>
      </c>
      <c r="AE148">
        <v>40.299999999999997</v>
      </c>
      <c r="AG148">
        <v>500</v>
      </c>
      <c r="AK148" t="s">
        <v>689</v>
      </c>
      <c r="AL148" t="s">
        <v>597</v>
      </c>
      <c r="AM148">
        <v>46.3964675</v>
      </c>
      <c r="AO148" t="s">
        <v>356</v>
      </c>
      <c r="BB148">
        <v>0.06</v>
      </c>
      <c r="BD148">
        <v>12</v>
      </c>
    </row>
    <row r="149" spans="1:56">
      <c r="A149" t="s">
        <v>570</v>
      </c>
      <c r="B149" t="s">
        <v>428</v>
      </c>
      <c r="C149">
        <v>2004</v>
      </c>
      <c r="E149">
        <v>2004</v>
      </c>
      <c r="F149" t="s">
        <v>74</v>
      </c>
      <c r="G149" t="s">
        <v>266</v>
      </c>
      <c r="H149">
        <v>500</v>
      </c>
      <c r="I149">
        <v>1</v>
      </c>
      <c r="J149" t="s">
        <v>373</v>
      </c>
      <c r="L149" t="s">
        <v>24</v>
      </c>
      <c r="M149">
        <v>44</v>
      </c>
      <c r="X149">
        <v>32.700000000000003</v>
      </c>
      <c r="Z149">
        <v>0.11</v>
      </c>
      <c r="AD149" t="s">
        <v>33</v>
      </c>
      <c r="AE149">
        <v>40.299999999999997</v>
      </c>
      <c r="AG149">
        <v>500</v>
      </c>
      <c r="AK149" t="s">
        <v>689</v>
      </c>
      <c r="AL149" t="s">
        <v>597</v>
      </c>
      <c r="AM149">
        <v>46.3964675</v>
      </c>
      <c r="AO149" t="s">
        <v>356</v>
      </c>
      <c r="BB149">
        <v>0.03</v>
      </c>
      <c r="BD149">
        <v>3</v>
      </c>
    </row>
    <row r="150" spans="1:56">
      <c r="A150" t="s">
        <v>570</v>
      </c>
      <c r="B150" t="s">
        <v>428</v>
      </c>
      <c r="C150">
        <v>2004</v>
      </c>
      <c r="E150">
        <v>2004</v>
      </c>
      <c r="F150" t="s">
        <v>74</v>
      </c>
      <c r="G150" t="s">
        <v>266</v>
      </c>
      <c r="H150">
        <v>500</v>
      </c>
      <c r="I150">
        <v>1</v>
      </c>
      <c r="J150" t="s">
        <v>373</v>
      </c>
      <c r="L150" t="s">
        <v>24</v>
      </c>
      <c r="M150">
        <v>55</v>
      </c>
      <c r="X150">
        <v>30</v>
      </c>
      <c r="Z150">
        <v>0.12</v>
      </c>
      <c r="AD150" t="s">
        <v>33</v>
      </c>
      <c r="AE150">
        <v>40.299999999999997</v>
      </c>
      <c r="AG150">
        <v>500</v>
      </c>
      <c r="AK150" t="s">
        <v>689</v>
      </c>
      <c r="AL150" t="s">
        <v>597</v>
      </c>
      <c r="AM150">
        <v>46.3964675</v>
      </c>
      <c r="AO150" t="s">
        <v>356</v>
      </c>
      <c r="BB150">
        <v>0.03</v>
      </c>
      <c r="BD150">
        <v>3</v>
      </c>
    </row>
    <row r="151" spans="1:56">
      <c r="A151" t="s">
        <v>570</v>
      </c>
      <c r="B151" t="s">
        <v>428</v>
      </c>
      <c r="C151">
        <v>2004</v>
      </c>
      <c r="E151">
        <v>2004</v>
      </c>
      <c r="F151" t="s">
        <v>74</v>
      </c>
      <c r="G151" t="s">
        <v>266</v>
      </c>
      <c r="H151">
        <v>500</v>
      </c>
      <c r="I151">
        <v>1</v>
      </c>
      <c r="J151" t="s">
        <v>373</v>
      </c>
      <c r="L151" t="s">
        <v>24</v>
      </c>
      <c r="M151">
        <v>55</v>
      </c>
      <c r="X151">
        <v>24</v>
      </c>
      <c r="Z151">
        <v>0.15</v>
      </c>
      <c r="AD151" t="s">
        <v>33</v>
      </c>
      <c r="AE151">
        <v>40.299999999999997</v>
      </c>
      <c r="AG151">
        <v>500</v>
      </c>
      <c r="AK151" t="s">
        <v>689</v>
      </c>
      <c r="AL151" t="s">
        <v>597</v>
      </c>
      <c r="AM151">
        <v>46.3964675</v>
      </c>
      <c r="AO151" t="s">
        <v>356</v>
      </c>
      <c r="BB151">
        <v>0.04</v>
      </c>
      <c r="BD151">
        <v>3</v>
      </c>
    </row>
    <row r="152" spans="1:56">
      <c r="A152" t="s">
        <v>570</v>
      </c>
      <c r="B152" t="s">
        <v>428</v>
      </c>
      <c r="C152">
        <v>2004</v>
      </c>
      <c r="E152">
        <v>2004</v>
      </c>
      <c r="F152" t="s">
        <v>74</v>
      </c>
      <c r="G152" t="s">
        <v>266</v>
      </c>
      <c r="H152">
        <v>500</v>
      </c>
      <c r="I152">
        <v>1</v>
      </c>
      <c r="J152" t="s">
        <v>373</v>
      </c>
      <c r="L152" t="s">
        <v>24</v>
      </c>
      <c r="M152">
        <v>55</v>
      </c>
      <c r="X152">
        <v>18.899999999999999</v>
      </c>
      <c r="Z152">
        <v>0.19</v>
      </c>
      <c r="AD152" t="s">
        <v>33</v>
      </c>
      <c r="AE152">
        <v>40.299999999999997</v>
      </c>
      <c r="AG152">
        <v>500</v>
      </c>
      <c r="AK152" t="s">
        <v>689</v>
      </c>
      <c r="AL152" t="s">
        <v>597</v>
      </c>
      <c r="AM152">
        <v>46.3964675</v>
      </c>
      <c r="AO152" t="s">
        <v>356</v>
      </c>
      <c r="BB152">
        <v>0.05</v>
      </c>
      <c r="BD152">
        <v>4</v>
      </c>
    </row>
    <row r="153" spans="1:56">
      <c r="A153" t="s">
        <v>570</v>
      </c>
      <c r="B153" t="s">
        <v>428</v>
      </c>
      <c r="C153">
        <v>2004</v>
      </c>
      <c r="E153">
        <v>2004</v>
      </c>
      <c r="F153" t="s">
        <v>74</v>
      </c>
      <c r="G153" t="s">
        <v>266</v>
      </c>
      <c r="H153">
        <v>500</v>
      </c>
      <c r="I153">
        <v>1</v>
      </c>
      <c r="J153" t="s">
        <v>373</v>
      </c>
      <c r="L153" t="s">
        <v>24</v>
      </c>
      <c r="M153">
        <v>65</v>
      </c>
      <c r="X153">
        <v>18.899999999999999</v>
      </c>
      <c r="Z153">
        <v>0.19</v>
      </c>
      <c r="AD153" t="s">
        <v>33</v>
      </c>
      <c r="AE153">
        <v>40.299999999999997</v>
      </c>
      <c r="AG153">
        <v>500</v>
      </c>
      <c r="AK153" t="s">
        <v>689</v>
      </c>
      <c r="AL153" t="s">
        <v>597</v>
      </c>
      <c r="AM153">
        <v>46.3964675</v>
      </c>
      <c r="AO153" t="s">
        <v>356</v>
      </c>
      <c r="BB153">
        <v>0.05</v>
      </c>
      <c r="BD153">
        <v>4</v>
      </c>
    </row>
    <row r="154" spans="1:56">
      <c r="A154" t="s">
        <v>570</v>
      </c>
      <c r="B154" t="s">
        <v>428</v>
      </c>
      <c r="C154">
        <v>2004</v>
      </c>
      <c r="E154">
        <v>2004</v>
      </c>
      <c r="F154" t="s">
        <v>74</v>
      </c>
      <c r="G154" t="s">
        <v>266</v>
      </c>
      <c r="H154">
        <v>500</v>
      </c>
      <c r="I154">
        <v>1</v>
      </c>
      <c r="J154" t="s">
        <v>373</v>
      </c>
      <c r="L154" t="s">
        <v>24</v>
      </c>
      <c r="M154">
        <v>44</v>
      </c>
      <c r="X154">
        <v>40</v>
      </c>
      <c r="Z154">
        <v>0.09</v>
      </c>
      <c r="AD154" t="s">
        <v>33</v>
      </c>
      <c r="AE154">
        <v>40.299999999999997</v>
      </c>
      <c r="AG154">
        <v>500</v>
      </c>
      <c r="AK154" t="s">
        <v>689</v>
      </c>
      <c r="AL154" t="s">
        <v>597</v>
      </c>
      <c r="AM154">
        <v>46.3964675</v>
      </c>
      <c r="AO154" t="s">
        <v>356</v>
      </c>
      <c r="BB154">
        <v>0.03</v>
      </c>
      <c r="BD154">
        <v>2</v>
      </c>
    </row>
    <row r="155" spans="1:56">
      <c r="A155" t="s">
        <v>570</v>
      </c>
      <c r="B155" t="s">
        <v>428</v>
      </c>
      <c r="C155">
        <v>2004</v>
      </c>
      <c r="E155">
        <v>2004</v>
      </c>
      <c r="F155" t="s">
        <v>74</v>
      </c>
      <c r="G155" t="s">
        <v>266</v>
      </c>
      <c r="H155">
        <v>500</v>
      </c>
      <c r="I155">
        <v>1</v>
      </c>
      <c r="J155" t="s">
        <v>373</v>
      </c>
      <c r="L155" t="s">
        <v>24</v>
      </c>
      <c r="M155">
        <v>55</v>
      </c>
      <c r="X155">
        <v>40</v>
      </c>
      <c r="Z155">
        <v>0.09</v>
      </c>
      <c r="AD155" t="s">
        <v>33</v>
      </c>
      <c r="AE155">
        <v>40.299999999999997</v>
      </c>
      <c r="AG155">
        <v>500</v>
      </c>
      <c r="AK155" t="s">
        <v>689</v>
      </c>
      <c r="AL155" t="s">
        <v>597</v>
      </c>
      <c r="AM155">
        <v>46.3964675</v>
      </c>
      <c r="AO155" t="s">
        <v>356</v>
      </c>
      <c r="BB155">
        <v>0.03</v>
      </c>
      <c r="BD155">
        <v>2</v>
      </c>
    </row>
    <row r="156" spans="1:56">
      <c r="A156" t="s">
        <v>570</v>
      </c>
      <c r="B156" t="s">
        <v>428</v>
      </c>
      <c r="C156">
        <v>2004</v>
      </c>
      <c r="E156">
        <v>2004</v>
      </c>
      <c r="F156" t="s">
        <v>74</v>
      </c>
      <c r="G156" t="s">
        <v>266</v>
      </c>
      <c r="H156">
        <v>500</v>
      </c>
      <c r="I156">
        <v>1</v>
      </c>
      <c r="J156" t="s">
        <v>373</v>
      </c>
      <c r="L156" t="s">
        <v>24</v>
      </c>
      <c r="M156">
        <v>55</v>
      </c>
      <c r="X156">
        <v>32.700000000000003</v>
      </c>
      <c r="Z156">
        <v>0.11</v>
      </c>
      <c r="AD156" t="s">
        <v>33</v>
      </c>
      <c r="AE156">
        <v>40.299999999999997</v>
      </c>
      <c r="AG156">
        <v>500</v>
      </c>
      <c r="AK156" t="s">
        <v>689</v>
      </c>
      <c r="AL156" t="s">
        <v>597</v>
      </c>
      <c r="AM156">
        <v>46.3964675</v>
      </c>
      <c r="AO156" t="s">
        <v>356</v>
      </c>
      <c r="BB156">
        <v>0.03</v>
      </c>
      <c r="BD156">
        <v>2</v>
      </c>
    </row>
    <row r="157" spans="1:56">
      <c r="A157" t="s">
        <v>570</v>
      </c>
      <c r="B157" t="s">
        <v>428</v>
      </c>
      <c r="C157">
        <v>2004</v>
      </c>
      <c r="E157">
        <v>2004</v>
      </c>
      <c r="F157" t="s">
        <v>74</v>
      </c>
      <c r="G157" t="s">
        <v>266</v>
      </c>
      <c r="H157">
        <v>500</v>
      </c>
      <c r="I157">
        <v>1</v>
      </c>
      <c r="J157" t="s">
        <v>373</v>
      </c>
      <c r="L157" t="s">
        <v>24</v>
      </c>
      <c r="M157">
        <v>55</v>
      </c>
      <c r="X157">
        <v>25.7</v>
      </c>
      <c r="Z157">
        <v>0.14000000000000001</v>
      </c>
      <c r="AD157" t="s">
        <v>33</v>
      </c>
      <c r="AE157">
        <v>40.299999999999997</v>
      </c>
      <c r="AG157">
        <v>500</v>
      </c>
      <c r="AK157" t="s">
        <v>689</v>
      </c>
      <c r="AL157" t="s">
        <v>597</v>
      </c>
      <c r="AM157">
        <v>46.3964675</v>
      </c>
      <c r="AO157" t="s">
        <v>356</v>
      </c>
      <c r="BB157">
        <v>0.04</v>
      </c>
      <c r="BD157">
        <v>3</v>
      </c>
    </row>
    <row r="158" spans="1:56">
      <c r="A158" t="s">
        <v>570</v>
      </c>
      <c r="B158" t="s">
        <v>428</v>
      </c>
      <c r="C158">
        <v>2004</v>
      </c>
      <c r="E158">
        <v>2004</v>
      </c>
      <c r="F158" t="s">
        <v>74</v>
      </c>
      <c r="G158" t="s">
        <v>266</v>
      </c>
      <c r="H158">
        <v>500</v>
      </c>
      <c r="I158">
        <v>1</v>
      </c>
      <c r="J158" t="s">
        <v>373</v>
      </c>
      <c r="L158" t="s">
        <v>24</v>
      </c>
      <c r="M158">
        <v>65</v>
      </c>
      <c r="X158">
        <v>25.7</v>
      </c>
      <c r="Z158">
        <v>0.14000000000000001</v>
      </c>
      <c r="AD158" t="s">
        <v>33</v>
      </c>
      <c r="AE158">
        <v>40.299999999999997</v>
      </c>
      <c r="AG158">
        <v>500</v>
      </c>
      <c r="AK158" t="s">
        <v>689</v>
      </c>
      <c r="AL158" t="s">
        <v>597</v>
      </c>
      <c r="AM158">
        <v>46.3964675</v>
      </c>
      <c r="AO158" t="s">
        <v>356</v>
      </c>
      <c r="BB158">
        <v>0.04</v>
      </c>
      <c r="BD158">
        <v>3</v>
      </c>
    </row>
    <row r="159" spans="1:56">
      <c r="A159" t="s">
        <v>570</v>
      </c>
      <c r="B159" t="s">
        <v>428</v>
      </c>
      <c r="C159">
        <v>2004</v>
      </c>
      <c r="E159">
        <v>2004</v>
      </c>
      <c r="H159">
        <v>500</v>
      </c>
      <c r="I159">
        <v>1</v>
      </c>
      <c r="J159" t="s">
        <v>545</v>
      </c>
      <c r="L159" t="s">
        <v>24</v>
      </c>
      <c r="Q159">
        <v>1461168</v>
      </c>
      <c r="S159">
        <v>2.92</v>
      </c>
      <c r="U159">
        <v>20</v>
      </c>
      <c r="AF159">
        <v>0.3</v>
      </c>
      <c r="AG159">
        <v>500</v>
      </c>
      <c r="AK159" t="s">
        <v>643</v>
      </c>
      <c r="AL159" t="s">
        <v>597</v>
      </c>
      <c r="AM159">
        <v>46.3964675</v>
      </c>
      <c r="AW159">
        <v>1314000</v>
      </c>
      <c r="AY159">
        <v>26280000</v>
      </c>
      <c r="AZ159">
        <v>52560000</v>
      </c>
      <c r="BD159">
        <v>55.6</v>
      </c>
    </row>
    <row r="160" spans="1:56">
      <c r="A160" t="s">
        <v>570</v>
      </c>
      <c r="B160" t="s">
        <v>428</v>
      </c>
      <c r="C160">
        <v>2004</v>
      </c>
      <c r="E160">
        <v>2004</v>
      </c>
      <c r="H160">
        <v>500</v>
      </c>
      <c r="I160">
        <v>1</v>
      </c>
      <c r="J160" t="s">
        <v>545</v>
      </c>
      <c r="L160" t="s">
        <v>24</v>
      </c>
      <c r="Q160">
        <v>877139</v>
      </c>
      <c r="S160">
        <v>1.75</v>
      </c>
      <c r="U160">
        <v>20</v>
      </c>
      <c r="AF160">
        <v>0.31</v>
      </c>
      <c r="AG160">
        <v>500</v>
      </c>
      <c r="AK160" t="s">
        <v>643</v>
      </c>
      <c r="AL160" t="s">
        <v>597</v>
      </c>
      <c r="AM160">
        <v>46.3964675</v>
      </c>
      <c r="AW160">
        <v>1357800</v>
      </c>
      <c r="AY160">
        <v>27156000</v>
      </c>
      <c r="AZ160">
        <v>54312000</v>
      </c>
      <c r="BD160">
        <v>32.299999999999997</v>
      </c>
    </row>
    <row r="161" spans="1:56">
      <c r="A161" t="s">
        <v>570</v>
      </c>
      <c r="B161" t="s">
        <v>428</v>
      </c>
      <c r="C161">
        <v>2004</v>
      </c>
      <c r="E161">
        <v>2004</v>
      </c>
      <c r="H161">
        <v>500</v>
      </c>
      <c r="I161">
        <v>1</v>
      </c>
      <c r="J161" t="s">
        <v>545</v>
      </c>
      <c r="L161" t="s">
        <v>31</v>
      </c>
      <c r="N161">
        <v>4.63</v>
      </c>
      <c r="U161">
        <v>20</v>
      </c>
      <c r="X161">
        <v>32.729999999999997</v>
      </c>
      <c r="Z161">
        <v>0.11</v>
      </c>
      <c r="AF161">
        <v>0.24</v>
      </c>
      <c r="AG161">
        <v>500</v>
      </c>
      <c r="AH161">
        <v>2312640</v>
      </c>
      <c r="AK161" t="s">
        <v>643</v>
      </c>
      <c r="AL161" t="s">
        <v>597</v>
      </c>
      <c r="AM161">
        <v>46.3964675</v>
      </c>
      <c r="AQ161">
        <v>642400</v>
      </c>
      <c r="AW161">
        <v>1051200</v>
      </c>
      <c r="AY161">
        <v>21024000</v>
      </c>
      <c r="AZ161">
        <v>42048000</v>
      </c>
      <c r="BB161">
        <v>0.03</v>
      </c>
    </row>
    <row r="162" spans="1:56">
      <c r="A162" t="s">
        <v>570</v>
      </c>
      <c r="B162" t="s">
        <v>428</v>
      </c>
      <c r="C162">
        <v>2004</v>
      </c>
      <c r="E162">
        <v>2004</v>
      </c>
      <c r="H162">
        <v>500</v>
      </c>
      <c r="I162">
        <v>1</v>
      </c>
      <c r="J162" t="s">
        <v>545</v>
      </c>
      <c r="L162" t="s">
        <v>31</v>
      </c>
      <c r="U162">
        <v>20</v>
      </c>
      <c r="AF162">
        <v>0.18</v>
      </c>
      <c r="AG162">
        <v>500</v>
      </c>
      <c r="AK162" t="s">
        <v>643</v>
      </c>
      <c r="AL162" t="s">
        <v>597</v>
      </c>
      <c r="AM162">
        <v>46.3964675</v>
      </c>
      <c r="AW162">
        <v>788400</v>
      </c>
      <c r="AY162">
        <v>15768000</v>
      </c>
      <c r="AZ162">
        <v>31536000</v>
      </c>
    </row>
    <row r="163" spans="1:56">
      <c r="A163" t="s">
        <v>570</v>
      </c>
      <c r="B163" t="s">
        <v>428</v>
      </c>
      <c r="C163">
        <v>2004</v>
      </c>
      <c r="E163">
        <v>2004</v>
      </c>
      <c r="H163">
        <v>500</v>
      </c>
      <c r="I163">
        <v>1</v>
      </c>
      <c r="J163" t="s">
        <v>545</v>
      </c>
      <c r="L163" t="s">
        <v>31</v>
      </c>
      <c r="U163">
        <v>20</v>
      </c>
      <c r="AF163">
        <v>0.2</v>
      </c>
      <c r="AG163">
        <v>500</v>
      </c>
      <c r="AK163" t="s">
        <v>643</v>
      </c>
      <c r="AL163" t="s">
        <v>597</v>
      </c>
      <c r="AM163">
        <v>46.3964675</v>
      </c>
      <c r="AW163">
        <v>876000</v>
      </c>
      <c r="AY163">
        <v>17520000</v>
      </c>
      <c r="AZ163">
        <v>35040000</v>
      </c>
    </row>
    <row r="164" spans="1:56">
      <c r="A164" t="s">
        <v>645</v>
      </c>
      <c r="B164" t="s">
        <v>425</v>
      </c>
      <c r="C164">
        <v>2004</v>
      </c>
      <c r="E164">
        <v>2004</v>
      </c>
      <c r="H164">
        <v>30</v>
      </c>
      <c r="I164">
        <v>1</v>
      </c>
      <c r="J164" t="s">
        <v>545</v>
      </c>
      <c r="L164" t="s">
        <v>24</v>
      </c>
      <c r="N164">
        <v>1.68</v>
      </c>
      <c r="Q164">
        <v>21697</v>
      </c>
      <c r="S164">
        <v>0.72</v>
      </c>
      <c r="U164">
        <v>20</v>
      </c>
      <c r="X164">
        <v>30</v>
      </c>
      <c r="Z164">
        <v>0.12</v>
      </c>
      <c r="AF164">
        <v>0.08</v>
      </c>
      <c r="AG164">
        <v>30</v>
      </c>
      <c r="AH164">
        <v>50458</v>
      </c>
      <c r="AK164" t="s">
        <v>643</v>
      </c>
      <c r="AL164" t="s">
        <v>597</v>
      </c>
      <c r="AM164">
        <v>46.3964675</v>
      </c>
      <c r="AQ164">
        <v>14016</v>
      </c>
      <c r="AW164">
        <v>21024</v>
      </c>
      <c r="AY164">
        <v>420480</v>
      </c>
      <c r="AZ164">
        <v>14016000</v>
      </c>
      <c r="BB164">
        <v>0.03</v>
      </c>
      <c r="BD164">
        <v>51.6</v>
      </c>
    </row>
    <row r="165" spans="1:56">
      <c r="A165" t="s">
        <v>570</v>
      </c>
      <c r="B165" t="s">
        <v>428</v>
      </c>
      <c r="C165">
        <v>2004</v>
      </c>
      <c r="E165">
        <v>2004</v>
      </c>
      <c r="H165">
        <v>150</v>
      </c>
      <c r="I165">
        <v>1</v>
      </c>
      <c r="J165" t="s">
        <v>545</v>
      </c>
      <c r="L165" t="s">
        <v>24</v>
      </c>
      <c r="N165">
        <v>3.15</v>
      </c>
      <c r="Q165">
        <v>77789</v>
      </c>
      <c r="S165">
        <v>0.52</v>
      </c>
      <c r="U165">
        <v>20</v>
      </c>
      <c r="X165">
        <v>20</v>
      </c>
      <c r="Z165">
        <v>0.18</v>
      </c>
      <c r="AF165">
        <v>0.1</v>
      </c>
      <c r="AG165">
        <v>150</v>
      </c>
      <c r="AH165">
        <v>473040</v>
      </c>
      <c r="AK165" t="s">
        <v>643</v>
      </c>
      <c r="AL165" t="s">
        <v>597</v>
      </c>
      <c r="AM165">
        <v>46.3964675</v>
      </c>
      <c r="AQ165">
        <v>131400</v>
      </c>
      <c r="AW165">
        <v>131400</v>
      </c>
      <c r="AY165">
        <v>2628000</v>
      </c>
      <c r="AZ165">
        <v>17520000</v>
      </c>
      <c r="BB165">
        <v>0.05</v>
      </c>
      <c r="BD165">
        <v>29.6</v>
      </c>
    </row>
    <row r="166" spans="1:56">
      <c r="A166" t="s">
        <v>644</v>
      </c>
      <c r="B166" t="s">
        <v>532</v>
      </c>
      <c r="C166">
        <v>2004</v>
      </c>
      <c r="E166">
        <v>2004</v>
      </c>
      <c r="H166">
        <v>2000</v>
      </c>
      <c r="I166">
        <v>1</v>
      </c>
      <c r="J166" t="s">
        <v>545</v>
      </c>
      <c r="L166" t="s">
        <v>24</v>
      </c>
      <c r="Q166">
        <v>1268098</v>
      </c>
      <c r="S166">
        <v>0.63</v>
      </c>
      <c r="U166">
        <v>20</v>
      </c>
      <c r="AE166">
        <v>80</v>
      </c>
      <c r="AF166">
        <v>0.47</v>
      </c>
      <c r="AG166">
        <v>2000</v>
      </c>
      <c r="AK166" t="s">
        <v>643</v>
      </c>
      <c r="AL166" t="s">
        <v>597</v>
      </c>
      <c r="AM166">
        <v>46.3964675</v>
      </c>
      <c r="AW166">
        <v>8234400</v>
      </c>
      <c r="AY166">
        <v>164688000</v>
      </c>
      <c r="AZ166">
        <v>82344000</v>
      </c>
      <c r="BD166">
        <v>7.7</v>
      </c>
    </row>
    <row r="167" spans="1:56">
      <c r="A167" t="s">
        <v>644</v>
      </c>
      <c r="B167" t="s">
        <v>532</v>
      </c>
      <c r="C167">
        <v>2004</v>
      </c>
      <c r="E167">
        <v>2004</v>
      </c>
      <c r="H167">
        <v>2000</v>
      </c>
      <c r="I167">
        <v>1</v>
      </c>
      <c r="J167" t="s">
        <v>545</v>
      </c>
      <c r="L167" t="s">
        <v>24</v>
      </c>
      <c r="Q167">
        <v>765834</v>
      </c>
      <c r="S167">
        <v>0.38</v>
      </c>
      <c r="U167">
        <v>20</v>
      </c>
      <c r="AE167">
        <v>80</v>
      </c>
      <c r="AF167">
        <v>0.32</v>
      </c>
      <c r="AG167">
        <v>2000</v>
      </c>
      <c r="AK167" t="s">
        <v>643</v>
      </c>
      <c r="AL167" t="s">
        <v>597</v>
      </c>
      <c r="AM167">
        <v>46.3964675</v>
      </c>
      <c r="AW167">
        <v>5606400</v>
      </c>
      <c r="AY167">
        <v>112128000</v>
      </c>
      <c r="AZ167">
        <v>56064000</v>
      </c>
      <c r="BD167">
        <v>6.83</v>
      </c>
    </row>
    <row r="168" spans="1:56">
      <c r="A168" t="s">
        <v>644</v>
      </c>
      <c r="B168" t="s">
        <v>532</v>
      </c>
      <c r="C168">
        <v>2004</v>
      </c>
      <c r="E168">
        <v>2004</v>
      </c>
      <c r="H168">
        <v>2000</v>
      </c>
      <c r="I168">
        <v>1</v>
      </c>
      <c r="J168" t="s">
        <v>545</v>
      </c>
      <c r="L168" t="s">
        <v>31</v>
      </c>
      <c r="Q168">
        <v>1228222</v>
      </c>
      <c r="S168">
        <v>0.61</v>
      </c>
      <c r="U168">
        <v>20</v>
      </c>
      <c r="AE168">
        <v>80</v>
      </c>
      <c r="AF168">
        <v>0.46</v>
      </c>
      <c r="AG168">
        <v>2000</v>
      </c>
      <c r="AK168" t="s">
        <v>643</v>
      </c>
      <c r="AL168" t="s">
        <v>597</v>
      </c>
      <c r="AM168">
        <v>46.3964675</v>
      </c>
      <c r="AN168" t="s">
        <v>561</v>
      </c>
      <c r="AW168">
        <v>8059200</v>
      </c>
      <c r="AY168">
        <v>161184000</v>
      </c>
      <c r="AZ168">
        <v>80592000</v>
      </c>
      <c r="BD168">
        <v>7.62</v>
      </c>
    </row>
    <row r="169" spans="1:56">
      <c r="A169" t="s">
        <v>634</v>
      </c>
      <c r="B169" t="s">
        <v>421</v>
      </c>
      <c r="C169">
        <v>2004</v>
      </c>
      <c r="E169">
        <v>2004</v>
      </c>
      <c r="H169">
        <v>660</v>
      </c>
      <c r="I169">
        <v>1</v>
      </c>
      <c r="L169" t="s">
        <v>24</v>
      </c>
      <c r="Q169">
        <v>349798</v>
      </c>
      <c r="S169">
        <v>0.53</v>
      </c>
      <c r="U169">
        <v>20</v>
      </c>
      <c r="AF169">
        <v>0.17899999999999999</v>
      </c>
      <c r="AG169">
        <v>660</v>
      </c>
      <c r="AK169" t="s">
        <v>598</v>
      </c>
      <c r="AL169" t="s">
        <v>597</v>
      </c>
      <c r="AM169">
        <v>46.3964675</v>
      </c>
      <c r="AW169">
        <v>1034906.4</v>
      </c>
      <c r="AY169">
        <v>20698128</v>
      </c>
      <c r="AZ169">
        <v>31360800</v>
      </c>
      <c r="BD169">
        <v>16.899999999999999</v>
      </c>
    </row>
    <row r="170" spans="1:56">
      <c r="A170" t="s">
        <v>570</v>
      </c>
      <c r="B170" t="s">
        <v>428</v>
      </c>
      <c r="C170">
        <v>2004</v>
      </c>
      <c r="E170">
        <v>2004</v>
      </c>
      <c r="H170">
        <v>600</v>
      </c>
      <c r="I170">
        <v>1</v>
      </c>
      <c r="L170" t="s">
        <v>24</v>
      </c>
      <c r="Q170">
        <v>142357</v>
      </c>
      <c r="S170">
        <v>0.24</v>
      </c>
      <c r="U170">
        <v>20</v>
      </c>
      <c r="AF170">
        <v>0.67711681899999998</v>
      </c>
      <c r="AG170">
        <v>600</v>
      </c>
      <c r="AK170" t="s">
        <v>598</v>
      </c>
      <c r="AL170" t="s">
        <v>597</v>
      </c>
      <c r="AM170">
        <v>46.3964675</v>
      </c>
      <c r="AW170">
        <v>3558926</v>
      </c>
      <c r="AY170">
        <v>71178520</v>
      </c>
      <c r="AZ170">
        <v>118630866.666667</v>
      </c>
      <c r="BD170">
        <v>2</v>
      </c>
    </row>
    <row r="171" spans="1:56">
      <c r="A171" t="s">
        <v>570</v>
      </c>
      <c r="B171" t="s">
        <v>428</v>
      </c>
      <c r="C171">
        <v>2004</v>
      </c>
      <c r="E171">
        <v>2004</v>
      </c>
      <c r="H171">
        <v>600</v>
      </c>
      <c r="I171">
        <v>1</v>
      </c>
      <c r="L171" t="s">
        <v>24</v>
      </c>
      <c r="Q171">
        <v>149947</v>
      </c>
      <c r="S171">
        <v>0.25</v>
      </c>
      <c r="U171">
        <v>20</v>
      </c>
      <c r="AF171">
        <v>0.71321651399999997</v>
      </c>
      <c r="AG171">
        <v>600</v>
      </c>
      <c r="AK171" t="s">
        <v>598</v>
      </c>
      <c r="AL171" t="s">
        <v>597</v>
      </c>
      <c r="AM171">
        <v>46.3964675</v>
      </c>
      <c r="AW171">
        <v>3748666</v>
      </c>
      <c r="AY171">
        <v>74973320</v>
      </c>
      <c r="AZ171">
        <v>124955533.333333</v>
      </c>
      <c r="BD171">
        <v>2</v>
      </c>
    </row>
    <row r="172" spans="1:56">
      <c r="A172" t="s">
        <v>570</v>
      </c>
      <c r="B172" t="s">
        <v>428</v>
      </c>
      <c r="C172">
        <v>2004</v>
      </c>
      <c r="E172">
        <v>2004</v>
      </c>
      <c r="H172">
        <v>600</v>
      </c>
      <c r="I172">
        <v>1</v>
      </c>
      <c r="L172" t="s">
        <v>24</v>
      </c>
      <c r="Q172">
        <v>116416</v>
      </c>
      <c r="S172">
        <v>0.19</v>
      </c>
      <c r="U172">
        <v>20</v>
      </c>
      <c r="AF172">
        <v>0.55373078399999998</v>
      </c>
      <c r="AG172">
        <v>600</v>
      </c>
      <c r="AK172" t="s">
        <v>598</v>
      </c>
      <c r="AL172" t="s">
        <v>597</v>
      </c>
      <c r="AM172">
        <v>46.3964675</v>
      </c>
      <c r="AW172">
        <v>2910409</v>
      </c>
      <c r="AY172">
        <v>58208180</v>
      </c>
      <c r="AZ172">
        <v>97013633.333333299</v>
      </c>
      <c r="BD172">
        <v>2</v>
      </c>
    </row>
    <row r="173" spans="1:56">
      <c r="A173" t="s">
        <v>570</v>
      </c>
      <c r="B173" t="s">
        <v>428</v>
      </c>
      <c r="C173">
        <v>2004</v>
      </c>
      <c r="E173">
        <v>2004</v>
      </c>
      <c r="H173">
        <v>600</v>
      </c>
      <c r="I173">
        <v>1</v>
      </c>
      <c r="L173" t="s">
        <v>24</v>
      </c>
      <c r="Q173">
        <v>213536</v>
      </c>
      <c r="S173">
        <v>0.36</v>
      </c>
      <c r="U173">
        <v>20</v>
      </c>
      <c r="AF173">
        <v>0.67711681899999998</v>
      </c>
      <c r="AG173">
        <v>600</v>
      </c>
      <c r="AK173" t="s">
        <v>598</v>
      </c>
      <c r="AL173" t="s">
        <v>597</v>
      </c>
      <c r="AM173">
        <v>46.3964675</v>
      </c>
      <c r="AW173">
        <v>3558926</v>
      </c>
      <c r="AY173">
        <v>71178520</v>
      </c>
      <c r="AZ173">
        <v>118630866.666667</v>
      </c>
      <c r="BD173">
        <v>3</v>
      </c>
    </row>
    <row r="174" spans="1:56">
      <c r="A174" t="s">
        <v>570</v>
      </c>
      <c r="B174" t="s">
        <v>428</v>
      </c>
      <c r="C174">
        <v>2004</v>
      </c>
      <c r="E174">
        <v>2004</v>
      </c>
      <c r="H174">
        <v>600</v>
      </c>
      <c r="I174">
        <v>1</v>
      </c>
      <c r="L174" t="s">
        <v>24</v>
      </c>
      <c r="Q174">
        <v>224920</v>
      </c>
      <c r="S174">
        <v>0.37</v>
      </c>
      <c r="U174">
        <v>20</v>
      </c>
      <c r="AF174">
        <v>0.71321651399999997</v>
      </c>
      <c r="AG174">
        <v>600</v>
      </c>
      <c r="AK174" t="s">
        <v>598</v>
      </c>
      <c r="AL174" t="s">
        <v>597</v>
      </c>
      <c r="AM174">
        <v>46.3964675</v>
      </c>
      <c r="AW174">
        <v>3748666</v>
      </c>
      <c r="AY174">
        <v>74973320</v>
      </c>
      <c r="AZ174">
        <v>124955533.333333</v>
      </c>
      <c r="BD174">
        <v>3</v>
      </c>
    </row>
    <row r="175" spans="1:56">
      <c r="A175" t="s">
        <v>570</v>
      </c>
      <c r="B175" t="s">
        <v>428</v>
      </c>
      <c r="C175">
        <v>2004</v>
      </c>
      <c r="E175">
        <v>2004</v>
      </c>
      <c r="H175">
        <v>600</v>
      </c>
      <c r="I175">
        <v>1</v>
      </c>
      <c r="L175" t="s">
        <v>24</v>
      </c>
      <c r="Q175">
        <v>174625</v>
      </c>
      <c r="S175">
        <v>0.28999999999999998</v>
      </c>
      <c r="U175">
        <v>20</v>
      </c>
      <c r="AF175">
        <v>0.55373078399999998</v>
      </c>
      <c r="AG175">
        <v>600</v>
      </c>
      <c r="AK175" t="s">
        <v>598</v>
      </c>
      <c r="AL175" t="s">
        <v>597</v>
      </c>
      <c r="AM175">
        <v>46.3964675</v>
      </c>
      <c r="AW175">
        <v>2910409</v>
      </c>
      <c r="AY175">
        <v>58208180</v>
      </c>
      <c r="AZ175">
        <v>97013633.333333299</v>
      </c>
      <c r="BD175">
        <v>3</v>
      </c>
    </row>
    <row r="176" spans="1:56">
      <c r="A176" t="s">
        <v>570</v>
      </c>
      <c r="B176" t="s">
        <v>428</v>
      </c>
      <c r="C176">
        <v>2004</v>
      </c>
      <c r="E176">
        <v>2004</v>
      </c>
      <c r="H176">
        <v>600</v>
      </c>
      <c r="I176">
        <v>1</v>
      </c>
      <c r="L176" t="s">
        <v>24</v>
      </c>
      <c r="Q176">
        <v>131784</v>
      </c>
      <c r="S176">
        <v>0.22</v>
      </c>
      <c r="U176">
        <v>20</v>
      </c>
      <c r="AF176">
        <v>0.41788508400000002</v>
      </c>
      <c r="AG176">
        <v>600</v>
      </c>
      <c r="AK176" t="s">
        <v>598</v>
      </c>
      <c r="AL176" t="s">
        <v>597</v>
      </c>
      <c r="AM176">
        <v>46.3964675</v>
      </c>
      <c r="AW176">
        <v>2196404</v>
      </c>
      <c r="AY176">
        <v>43928080</v>
      </c>
      <c r="AZ176">
        <v>73213466.666666701</v>
      </c>
      <c r="BD176">
        <v>3</v>
      </c>
    </row>
    <row r="177" spans="1:56">
      <c r="A177" t="s">
        <v>570</v>
      </c>
      <c r="B177" t="s">
        <v>428</v>
      </c>
      <c r="C177">
        <v>2004</v>
      </c>
      <c r="E177">
        <v>2004</v>
      </c>
      <c r="H177">
        <v>600</v>
      </c>
      <c r="I177">
        <v>1</v>
      </c>
      <c r="L177" t="s">
        <v>24</v>
      </c>
      <c r="Q177">
        <v>145208</v>
      </c>
      <c r="S177">
        <v>0.24</v>
      </c>
      <c r="U177">
        <v>20</v>
      </c>
      <c r="AF177">
        <v>0.460451104</v>
      </c>
      <c r="AG177">
        <v>600</v>
      </c>
      <c r="AK177" t="s">
        <v>598</v>
      </c>
      <c r="AL177" t="s">
        <v>597</v>
      </c>
      <c r="AM177">
        <v>46.3964675</v>
      </c>
      <c r="AW177">
        <v>2420131</v>
      </c>
      <c r="AY177">
        <v>48402620</v>
      </c>
      <c r="AZ177">
        <v>80671033.333333299</v>
      </c>
      <c r="BD177">
        <v>3</v>
      </c>
    </row>
    <row r="178" spans="1:56">
      <c r="A178" t="s">
        <v>570</v>
      </c>
      <c r="B178" t="s">
        <v>428</v>
      </c>
      <c r="C178">
        <v>2004</v>
      </c>
      <c r="E178">
        <v>2004</v>
      </c>
      <c r="H178">
        <v>600</v>
      </c>
      <c r="I178">
        <v>1</v>
      </c>
      <c r="L178" t="s">
        <v>24</v>
      </c>
      <c r="Q178">
        <v>175712</v>
      </c>
      <c r="S178">
        <v>0.28999999999999998</v>
      </c>
      <c r="U178">
        <v>20</v>
      </c>
      <c r="AF178">
        <v>0.41788508400000002</v>
      </c>
      <c r="AG178">
        <v>600</v>
      </c>
      <c r="AK178" t="s">
        <v>598</v>
      </c>
      <c r="AL178" t="s">
        <v>597</v>
      </c>
      <c r="AM178">
        <v>46.3964675</v>
      </c>
      <c r="AW178">
        <v>2196404</v>
      </c>
      <c r="AY178">
        <v>43928080</v>
      </c>
      <c r="AZ178">
        <v>73213466.666666701</v>
      </c>
      <c r="BD178">
        <v>4</v>
      </c>
    </row>
    <row r="179" spans="1:56">
      <c r="A179" t="s">
        <v>570</v>
      </c>
      <c r="B179" t="s">
        <v>428</v>
      </c>
      <c r="C179">
        <v>2004</v>
      </c>
      <c r="E179">
        <v>2004</v>
      </c>
      <c r="H179">
        <v>600</v>
      </c>
      <c r="I179">
        <v>1</v>
      </c>
      <c r="L179" t="s">
        <v>24</v>
      </c>
      <c r="Q179">
        <v>193610</v>
      </c>
      <c r="S179">
        <v>0.32</v>
      </c>
      <c r="U179">
        <v>20</v>
      </c>
      <c r="AF179">
        <v>0.460451104</v>
      </c>
      <c r="AG179">
        <v>600</v>
      </c>
      <c r="AK179" t="s">
        <v>598</v>
      </c>
      <c r="AL179" t="s">
        <v>597</v>
      </c>
      <c r="AM179">
        <v>46.3964675</v>
      </c>
      <c r="AW179">
        <v>2420131</v>
      </c>
      <c r="AY179">
        <v>48402620</v>
      </c>
      <c r="AZ179">
        <v>80671033.333333299</v>
      </c>
      <c r="BD179">
        <v>4</v>
      </c>
    </row>
    <row r="180" spans="1:56">
      <c r="A180" t="s">
        <v>570</v>
      </c>
      <c r="B180" t="s">
        <v>428</v>
      </c>
      <c r="C180">
        <v>2004</v>
      </c>
      <c r="E180">
        <v>2004</v>
      </c>
      <c r="H180">
        <v>600</v>
      </c>
      <c r="I180">
        <v>1</v>
      </c>
      <c r="L180" t="s">
        <v>24</v>
      </c>
      <c r="Q180">
        <v>569428</v>
      </c>
      <c r="S180">
        <v>0.95</v>
      </c>
      <c r="U180">
        <v>20</v>
      </c>
      <c r="AF180">
        <v>0.67711681899999998</v>
      </c>
      <c r="AG180">
        <v>600</v>
      </c>
      <c r="AK180" t="s">
        <v>598</v>
      </c>
      <c r="AL180" t="s">
        <v>597</v>
      </c>
      <c r="AM180">
        <v>46.3964675</v>
      </c>
      <c r="AW180">
        <v>3558926</v>
      </c>
      <c r="AY180">
        <v>71178520</v>
      </c>
      <c r="AZ180">
        <v>118630866.666667</v>
      </c>
      <c r="BD180">
        <v>8</v>
      </c>
    </row>
    <row r="181" spans="1:56">
      <c r="A181" t="s">
        <v>570</v>
      </c>
      <c r="B181" t="s">
        <v>428</v>
      </c>
      <c r="C181">
        <v>2004</v>
      </c>
      <c r="E181">
        <v>2004</v>
      </c>
      <c r="H181">
        <v>600</v>
      </c>
      <c r="I181">
        <v>1</v>
      </c>
      <c r="L181" t="s">
        <v>24</v>
      </c>
      <c r="Q181">
        <v>599787</v>
      </c>
      <c r="S181">
        <v>1</v>
      </c>
      <c r="U181">
        <v>20</v>
      </c>
      <c r="AF181">
        <v>0.71321651399999997</v>
      </c>
      <c r="AG181">
        <v>600</v>
      </c>
      <c r="AK181" t="s">
        <v>598</v>
      </c>
      <c r="AL181" t="s">
        <v>597</v>
      </c>
      <c r="AM181">
        <v>46.3964675</v>
      </c>
      <c r="AW181">
        <v>3748666</v>
      </c>
      <c r="AY181">
        <v>74973320</v>
      </c>
      <c r="AZ181">
        <v>124955533.333333</v>
      </c>
      <c r="BD181">
        <v>8</v>
      </c>
    </row>
    <row r="182" spans="1:56">
      <c r="A182" t="s">
        <v>570</v>
      </c>
      <c r="B182" t="s">
        <v>428</v>
      </c>
      <c r="C182">
        <v>2004</v>
      </c>
      <c r="E182">
        <v>2004</v>
      </c>
      <c r="H182">
        <v>600</v>
      </c>
      <c r="I182">
        <v>1</v>
      </c>
      <c r="L182" t="s">
        <v>24</v>
      </c>
      <c r="Q182">
        <v>582082</v>
      </c>
      <c r="S182">
        <v>0.97</v>
      </c>
      <c r="U182">
        <v>20</v>
      </c>
      <c r="AF182">
        <v>0.55373078399999998</v>
      </c>
      <c r="AG182">
        <v>600</v>
      </c>
      <c r="AK182" t="s">
        <v>598</v>
      </c>
      <c r="AL182" t="s">
        <v>597</v>
      </c>
      <c r="AM182">
        <v>46.3964675</v>
      </c>
      <c r="AW182">
        <v>2910409</v>
      </c>
      <c r="AY182">
        <v>58208180</v>
      </c>
      <c r="AZ182">
        <v>97013633.333333299</v>
      </c>
      <c r="BD182">
        <v>10</v>
      </c>
    </row>
    <row r="183" spans="1:56">
      <c r="A183" t="s">
        <v>570</v>
      </c>
      <c r="B183" t="s">
        <v>428</v>
      </c>
      <c r="C183">
        <v>2004</v>
      </c>
      <c r="E183">
        <v>2004</v>
      </c>
      <c r="H183">
        <v>600</v>
      </c>
      <c r="I183">
        <v>1</v>
      </c>
      <c r="L183" t="s">
        <v>24</v>
      </c>
      <c r="Q183">
        <v>580831</v>
      </c>
      <c r="S183">
        <v>0.97</v>
      </c>
      <c r="U183">
        <v>20</v>
      </c>
      <c r="AF183">
        <v>0.460451104</v>
      </c>
      <c r="AG183">
        <v>600</v>
      </c>
      <c r="AK183" t="s">
        <v>598</v>
      </c>
      <c r="AL183" t="s">
        <v>597</v>
      </c>
      <c r="AM183">
        <v>46.3964675</v>
      </c>
      <c r="AW183">
        <v>2420131</v>
      </c>
      <c r="AY183">
        <v>48402620</v>
      </c>
      <c r="AZ183">
        <v>80671033.333333299</v>
      </c>
      <c r="BD183">
        <v>12</v>
      </c>
    </row>
    <row r="184" spans="1:56">
      <c r="A184" t="s">
        <v>570</v>
      </c>
      <c r="B184" t="s">
        <v>428</v>
      </c>
      <c r="C184">
        <v>2004</v>
      </c>
      <c r="E184">
        <v>2004</v>
      </c>
      <c r="H184">
        <v>600</v>
      </c>
      <c r="I184">
        <v>1</v>
      </c>
      <c r="L184" t="s">
        <v>24</v>
      </c>
      <c r="Q184">
        <v>571065</v>
      </c>
      <c r="S184">
        <v>0.95</v>
      </c>
      <c r="U184">
        <v>20</v>
      </c>
      <c r="AF184">
        <v>0.41788508400000002</v>
      </c>
      <c r="AG184">
        <v>600</v>
      </c>
      <c r="AK184" t="s">
        <v>598</v>
      </c>
      <c r="AL184" t="s">
        <v>597</v>
      </c>
      <c r="AM184">
        <v>46.3964675</v>
      </c>
      <c r="AW184">
        <v>2196404</v>
      </c>
      <c r="AY184">
        <v>43928080</v>
      </c>
      <c r="AZ184">
        <v>73213466.666666701</v>
      </c>
      <c r="BD184">
        <v>13</v>
      </c>
    </row>
    <row r="185" spans="1:56">
      <c r="A185" t="s">
        <v>570</v>
      </c>
      <c r="B185" t="s">
        <v>428</v>
      </c>
      <c r="C185">
        <v>2004</v>
      </c>
      <c r="E185">
        <v>2004</v>
      </c>
      <c r="H185">
        <v>600</v>
      </c>
      <c r="I185">
        <v>1</v>
      </c>
      <c r="L185" t="s">
        <v>24</v>
      </c>
      <c r="Q185">
        <v>1067678</v>
      </c>
      <c r="S185">
        <v>1.78</v>
      </c>
      <c r="U185">
        <v>20</v>
      </c>
      <c r="AF185">
        <v>0.67711681899999998</v>
      </c>
      <c r="AG185">
        <v>600</v>
      </c>
      <c r="AK185" t="s">
        <v>598</v>
      </c>
      <c r="AL185" t="s">
        <v>597</v>
      </c>
      <c r="AM185">
        <v>46.3964675</v>
      </c>
      <c r="AW185">
        <v>3558926</v>
      </c>
      <c r="AY185">
        <v>71178520</v>
      </c>
      <c r="AZ185">
        <v>118630866.666667</v>
      </c>
      <c r="BD185">
        <v>15</v>
      </c>
    </row>
    <row r="186" spans="1:56">
      <c r="A186" t="s">
        <v>570</v>
      </c>
      <c r="B186" t="s">
        <v>428</v>
      </c>
      <c r="C186">
        <v>2004</v>
      </c>
      <c r="E186">
        <v>2004</v>
      </c>
      <c r="H186">
        <v>600</v>
      </c>
      <c r="I186">
        <v>1</v>
      </c>
      <c r="L186" t="s">
        <v>24</v>
      </c>
      <c r="Q186">
        <v>1199573</v>
      </c>
      <c r="S186">
        <v>2</v>
      </c>
      <c r="U186">
        <v>20</v>
      </c>
      <c r="AF186">
        <v>0.71321651399999997</v>
      </c>
      <c r="AG186">
        <v>600</v>
      </c>
      <c r="AK186" t="s">
        <v>598</v>
      </c>
      <c r="AL186" t="s">
        <v>597</v>
      </c>
      <c r="AM186">
        <v>46.3964675</v>
      </c>
      <c r="AW186">
        <v>3748666</v>
      </c>
      <c r="AY186">
        <v>74973320</v>
      </c>
      <c r="AZ186">
        <v>124955533.333333</v>
      </c>
      <c r="BD186">
        <v>16</v>
      </c>
    </row>
    <row r="187" spans="1:56">
      <c r="A187" t="s">
        <v>570</v>
      </c>
      <c r="B187" t="s">
        <v>428</v>
      </c>
      <c r="C187">
        <v>2004</v>
      </c>
      <c r="E187">
        <v>2004</v>
      </c>
      <c r="H187">
        <v>600</v>
      </c>
      <c r="I187">
        <v>1</v>
      </c>
      <c r="L187" t="s">
        <v>24</v>
      </c>
      <c r="Q187">
        <v>1164164</v>
      </c>
      <c r="S187">
        <v>1.94</v>
      </c>
      <c r="U187">
        <v>20</v>
      </c>
      <c r="AF187">
        <v>0.55373078399999998</v>
      </c>
      <c r="AG187">
        <v>600</v>
      </c>
      <c r="AK187" t="s">
        <v>598</v>
      </c>
      <c r="AL187" t="s">
        <v>597</v>
      </c>
      <c r="AM187">
        <v>46.3964675</v>
      </c>
      <c r="AW187">
        <v>2910409</v>
      </c>
      <c r="AY187">
        <v>58208180</v>
      </c>
      <c r="AZ187">
        <v>97013633.333333299</v>
      </c>
      <c r="BD187">
        <v>20</v>
      </c>
    </row>
    <row r="188" spans="1:56">
      <c r="A188" t="s">
        <v>570</v>
      </c>
      <c r="B188" t="s">
        <v>428</v>
      </c>
      <c r="C188">
        <v>2004</v>
      </c>
      <c r="E188">
        <v>2004</v>
      </c>
      <c r="H188">
        <v>600</v>
      </c>
      <c r="I188">
        <v>1</v>
      </c>
      <c r="L188" t="s">
        <v>24</v>
      </c>
      <c r="Q188">
        <v>1258468</v>
      </c>
      <c r="S188">
        <v>2.1</v>
      </c>
      <c r="U188">
        <v>20</v>
      </c>
      <c r="AF188">
        <v>0.460451104</v>
      </c>
      <c r="AG188">
        <v>600</v>
      </c>
      <c r="AK188" t="s">
        <v>598</v>
      </c>
      <c r="AL188" t="s">
        <v>597</v>
      </c>
      <c r="AM188">
        <v>46.3964675</v>
      </c>
      <c r="AW188">
        <v>2420131</v>
      </c>
      <c r="AY188">
        <v>48402620</v>
      </c>
      <c r="AZ188">
        <v>80671033.333333299</v>
      </c>
      <c r="BD188">
        <v>26</v>
      </c>
    </row>
    <row r="189" spans="1:56">
      <c r="A189" t="s">
        <v>570</v>
      </c>
      <c r="B189" t="s">
        <v>428</v>
      </c>
      <c r="C189">
        <v>2004</v>
      </c>
      <c r="E189">
        <v>2004</v>
      </c>
      <c r="H189">
        <v>600</v>
      </c>
      <c r="I189">
        <v>1</v>
      </c>
      <c r="L189" t="s">
        <v>24</v>
      </c>
      <c r="Q189">
        <v>1186058</v>
      </c>
      <c r="S189">
        <v>1.98</v>
      </c>
      <c r="U189">
        <v>20</v>
      </c>
      <c r="AF189">
        <v>0.41788508400000002</v>
      </c>
      <c r="AG189">
        <v>600</v>
      </c>
      <c r="AK189" t="s">
        <v>598</v>
      </c>
      <c r="AL189" t="s">
        <v>597</v>
      </c>
      <c r="AM189">
        <v>46.3964675</v>
      </c>
      <c r="AW189">
        <v>2196404</v>
      </c>
      <c r="AY189">
        <v>43928080</v>
      </c>
      <c r="AZ189">
        <v>73213466.666666701</v>
      </c>
      <c r="BD189">
        <v>27</v>
      </c>
    </row>
    <row r="190" spans="1:56">
      <c r="A190" t="s">
        <v>570</v>
      </c>
      <c r="B190" t="s">
        <v>428</v>
      </c>
      <c r="C190">
        <v>2004</v>
      </c>
      <c r="E190">
        <v>2004</v>
      </c>
      <c r="H190">
        <v>600</v>
      </c>
      <c r="I190">
        <v>1</v>
      </c>
      <c r="L190" t="s">
        <v>24</v>
      </c>
      <c r="Q190">
        <v>1167287</v>
      </c>
      <c r="S190">
        <v>1.95</v>
      </c>
      <c r="U190">
        <v>20</v>
      </c>
      <c r="AF190">
        <v>0.246762747</v>
      </c>
      <c r="AG190">
        <v>600</v>
      </c>
      <c r="AK190" t="s">
        <v>598</v>
      </c>
      <c r="AL190" t="s">
        <v>597</v>
      </c>
      <c r="AM190">
        <v>46.3964675</v>
      </c>
      <c r="AW190">
        <v>1296985</v>
      </c>
      <c r="AY190">
        <v>25939700</v>
      </c>
      <c r="AZ190">
        <v>43232833.333333299</v>
      </c>
      <c r="BD190">
        <v>45</v>
      </c>
    </row>
    <row r="191" spans="1:56">
      <c r="A191" t="s">
        <v>570</v>
      </c>
      <c r="B191" t="s">
        <v>428</v>
      </c>
      <c r="C191">
        <v>2004</v>
      </c>
      <c r="E191">
        <v>2004</v>
      </c>
      <c r="H191">
        <v>600</v>
      </c>
      <c r="I191">
        <v>1</v>
      </c>
      <c r="L191" t="s">
        <v>24</v>
      </c>
      <c r="Q191">
        <v>1311487</v>
      </c>
      <c r="S191">
        <v>2.19</v>
      </c>
      <c r="U191">
        <v>20</v>
      </c>
      <c r="AF191">
        <v>0.25991856899999999</v>
      </c>
      <c r="AG191">
        <v>600</v>
      </c>
      <c r="AK191" t="s">
        <v>598</v>
      </c>
      <c r="AL191" t="s">
        <v>597</v>
      </c>
      <c r="AM191">
        <v>46.3964675</v>
      </c>
      <c r="AW191">
        <v>1366132</v>
      </c>
      <c r="AY191">
        <v>27322640</v>
      </c>
      <c r="AZ191">
        <v>45537733.333333299</v>
      </c>
      <c r="BD191">
        <v>48</v>
      </c>
    </row>
    <row r="192" spans="1:56">
      <c r="A192" t="s">
        <v>570</v>
      </c>
      <c r="B192" t="s">
        <v>428</v>
      </c>
      <c r="C192">
        <v>2004</v>
      </c>
      <c r="E192">
        <v>2004</v>
      </c>
      <c r="H192">
        <v>600</v>
      </c>
      <c r="I192">
        <v>1</v>
      </c>
      <c r="L192" t="s">
        <v>24</v>
      </c>
      <c r="Q192">
        <v>1293987</v>
      </c>
      <c r="S192">
        <v>2.16</v>
      </c>
      <c r="U192">
        <v>20</v>
      </c>
      <c r="AF192">
        <v>0.20179699400000001</v>
      </c>
      <c r="AG192">
        <v>600</v>
      </c>
      <c r="AK192" t="s">
        <v>598</v>
      </c>
      <c r="AL192" t="s">
        <v>597</v>
      </c>
      <c r="AM192">
        <v>46.3964675</v>
      </c>
      <c r="AW192">
        <v>1060645</v>
      </c>
      <c r="AY192">
        <v>21212900</v>
      </c>
      <c r="AZ192">
        <v>35354833.333333299</v>
      </c>
      <c r="BD192">
        <v>61</v>
      </c>
    </row>
    <row r="193" spans="1:56">
      <c r="A193" t="s">
        <v>570</v>
      </c>
      <c r="B193" t="s">
        <v>428</v>
      </c>
      <c r="C193">
        <v>2004</v>
      </c>
      <c r="E193">
        <v>2004</v>
      </c>
      <c r="H193">
        <v>600</v>
      </c>
      <c r="I193">
        <v>1</v>
      </c>
      <c r="L193" t="s">
        <v>24</v>
      </c>
      <c r="Q193">
        <v>1358237</v>
      </c>
      <c r="S193">
        <v>2.2599999999999998</v>
      </c>
      <c r="U193">
        <v>20</v>
      </c>
      <c r="AF193">
        <v>0.16780289200000001</v>
      </c>
      <c r="AG193">
        <v>600</v>
      </c>
      <c r="AK193" t="s">
        <v>598</v>
      </c>
      <c r="AL193" t="s">
        <v>597</v>
      </c>
      <c r="AM193">
        <v>46.3964675</v>
      </c>
      <c r="AW193">
        <v>881972</v>
      </c>
      <c r="AY193">
        <v>17639440</v>
      </c>
      <c r="AZ193">
        <v>29399066.666666701</v>
      </c>
      <c r="BD193">
        <v>77</v>
      </c>
    </row>
    <row r="194" spans="1:56">
      <c r="A194" t="s">
        <v>570</v>
      </c>
      <c r="B194" t="s">
        <v>428</v>
      </c>
      <c r="C194">
        <v>2004</v>
      </c>
      <c r="E194">
        <v>2004</v>
      </c>
      <c r="H194">
        <v>600</v>
      </c>
      <c r="I194">
        <v>1</v>
      </c>
      <c r="L194" t="s">
        <v>24</v>
      </c>
      <c r="Q194">
        <v>1296711</v>
      </c>
      <c r="S194">
        <v>2.16</v>
      </c>
      <c r="U194">
        <v>20</v>
      </c>
      <c r="AF194">
        <v>0.15229052500000001</v>
      </c>
      <c r="AG194">
        <v>600</v>
      </c>
      <c r="AK194" t="s">
        <v>598</v>
      </c>
      <c r="AL194" t="s">
        <v>597</v>
      </c>
      <c r="AM194">
        <v>46.3964675</v>
      </c>
      <c r="AW194">
        <v>800439</v>
      </c>
      <c r="AY194">
        <v>16008780</v>
      </c>
      <c r="AZ194">
        <v>26681300</v>
      </c>
      <c r="BD194">
        <v>81</v>
      </c>
    </row>
    <row r="195" spans="1:56">
      <c r="A195" t="s">
        <v>616</v>
      </c>
      <c r="B195" t="s">
        <v>437</v>
      </c>
      <c r="C195">
        <v>2004</v>
      </c>
      <c r="E195">
        <v>2004</v>
      </c>
      <c r="H195">
        <v>225</v>
      </c>
      <c r="I195">
        <v>1</v>
      </c>
      <c r="L195" t="s">
        <v>24</v>
      </c>
      <c r="Q195">
        <v>110691</v>
      </c>
      <c r="S195">
        <v>0.49</v>
      </c>
      <c r="U195">
        <v>30</v>
      </c>
      <c r="AF195">
        <v>0.26</v>
      </c>
      <c r="AG195">
        <v>225</v>
      </c>
      <c r="AK195" t="s">
        <v>598</v>
      </c>
      <c r="AL195" t="s">
        <v>597</v>
      </c>
      <c r="AM195">
        <v>46.3964675</v>
      </c>
      <c r="AW195">
        <v>512460</v>
      </c>
      <c r="AY195">
        <v>15373800</v>
      </c>
      <c r="AZ195">
        <v>68328000</v>
      </c>
      <c r="BD195">
        <v>7.2</v>
      </c>
    </row>
    <row r="196" spans="1:56">
      <c r="A196" t="s">
        <v>616</v>
      </c>
      <c r="B196" t="s">
        <v>437</v>
      </c>
      <c r="C196">
        <v>2004</v>
      </c>
      <c r="E196">
        <v>2004</v>
      </c>
      <c r="H196">
        <v>2000</v>
      </c>
      <c r="I196">
        <v>1</v>
      </c>
      <c r="L196" t="s">
        <v>24</v>
      </c>
      <c r="Q196">
        <v>895272</v>
      </c>
      <c r="S196">
        <v>0.45</v>
      </c>
      <c r="U196">
        <v>20</v>
      </c>
      <c r="AF196">
        <v>0.35</v>
      </c>
      <c r="AG196">
        <v>2000</v>
      </c>
      <c r="AK196" t="s">
        <v>598</v>
      </c>
      <c r="AL196" t="s">
        <v>597</v>
      </c>
      <c r="AM196">
        <v>46.3964675</v>
      </c>
      <c r="AW196">
        <v>6132000</v>
      </c>
      <c r="AY196">
        <v>122640000</v>
      </c>
      <c r="AZ196">
        <v>61320000</v>
      </c>
      <c r="BD196">
        <v>7.3</v>
      </c>
    </row>
    <row r="197" spans="1:56">
      <c r="A197" t="s">
        <v>616</v>
      </c>
      <c r="B197" t="s">
        <v>437</v>
      </c>
      <c r="C197">
        <v>2004</v>
      </c>
      <c r="E197">
        <v>2004</v>
      </c>
      <c r="H197">
        <v>225</v>
      </c>
      <c r="I197">
        <v>1</v>
      </c>
      <c r="L197" t="s">
        <v>24</v>
      </c>
      <c r="Q197">
        <v>112741</v>
      </c>
      <c r="S197">
        <v>0.5</v>
      </c>
      <c r="U197">
        <v>20</v>
      </c>
      <c r="AF197">
        <v>0.26</v>
      </c>
      <c r="AG197">
        <v>225</v>
      </c>
      <c r="AK197" t="s">
        <v>598</v>
      </c>
      <c r="AL197" t="s">
        <v>597</v>
      </c>
      <c r="AM197">
        <v>46.3964675</v>
      </c>
      <c r="AW197">
        <v>512460</v>
      </c>
      <c r="AY197">
        <v>10249200</v>
      </c>
      <c r="AZ197">
        <v>45552000</v>
      </c>
      <c r="BD197">
        <v>11</v>
      </c>
    </row>
    <row r="198" spans="1:56">
      <c r="A198" t="s">
        <v>616</v>
      </c>
      <c r="B198" t="s">
        <v>437</v>
      </c>
      <c r="C198">
        <v>2004</v>
      </c>
      <c r="E198">
        <v>2004</v>
      </c>
      <c r="H198">
        <v>225</v>
      </c>
      <c r="I198">
        <v>1</v>
      </c>
      <c r="L198" t="s">
        <v>24</v>
      </c>
      <c r="Q198">
        <v>112741</v>
      </c>
      <c r="S198">
        <v>0.5</v>
      </c>
      <c r="U198">
        <v>20</v>
      </c>
      <c r="AF198">
        <v>0.26</v>
      </c>
      <c r="AG198">
        <v>225</v>
      </c>
      <c r="AK198" t="s">
        <v>598</v>
      </c>
      <c r="AL198" t="s">
        <v>597</v>
      </c>
      <c r="AM198">
        <v>46.3964675</v>
      </c>
      <c r="AW198">
        <v>512460</v>
      </c>
      <c r="AY198">
        <v>10249200</v>
      </c>
      <c r="AZ198">
        <v>45552000</v>
      </c>
      <c r="BD198">
        <v>11</v>
      </c>
    </row>
    <row r="199" spans="1:56">
      <c r="A199" t="s">
        <v>613</v>
      </c>
      <c r="B199" t="s">
        <v>439</v>
      </c>
      <c r="C199">
        <v>2004</v>
      </c>
      <c r="E199">
        <v>2004</v>
      </c>
      <c r="H199">
        <v>500</v>
      </c>
      <c r="I199">
        <v>1</v>
      </c>
      <c r="L199" t="s">
        <v>24</v>
      </c>
      <c r="Q199">
        <v>79132</v>
      </c>
      <c r="S199">
        <v>0.16</v>
      </c>
      <c r="U199">
        <v>30</v>
      </c>
      <c r="AF199">
        <v>0.36</v>
      </c>
      <c r="AG199">
        <v>500</v>
      </c>
      <c r="AK199" t="s">
        <v>598</v>
      </c>
      <c r="AL199" t="s">
        <v>597</v>
      </c>
      <c r="AM199">
        <v>46.3964675</v>
      </c>
      <c r="AW199">
        <v>1576800</v>
      </c>
      <c r="AY199">
        <v>47304000</v>
      </c>
      <c r="AZ199">
        <v>94608000</v>
      </c>
      <c r="BD199">
        <v>1.67</v>
      </c>
    </row>
    <row r="200" spans="1:56">
      <c r="A200" t="s">
        <v>613</v>
      </c>
      <c r="B200" t="s">
        <v>439</v>
      </c>
      <c r="C200">
        <v>2004</v>
      </c>
      <c r="E200">
        <v>2004</v>
      </c>
      <c r="H200">
        <v>500</v>
      </c>
      <c r="I200">
        <v>1</v>
      </c>
      <c r="L200" t="s">
        <v>24</v>
      </c>
      <c r="Q200">
        <v>85521</v>
      </c>
      <c r="S200">
        <v>0.17</v>
      </c>
      <c r="U200">
        <v>30</v>
      </c>
      <c r="AF200">
        <v>0.26</v>
      </c>
      <c r="AG200">
        <v>500</v>
      </c>
      <c r="AK200" t="s">
        <v>598</v>
      </c>
      <c r="AL200" t="s">
        <v>597</v>
      </c>
      <c r="AM200">
        <v>46.3964675</v>
      </c>
      <c r="AW200">
        <v>1138800</v>
      </c>
      <c r="AY200">
        <v>34164000</v>
      </c>
      <c r="AZ200">
        <v>68328000</v>
      </c>
      <c r="BD200">
        <v>2.5</v>
      </c>
    </row>
    <row r="201" spans="1:56">
      <c r="A201" t="s">
        <v>599</v>
      </c>
      <c r="B201" t="s">
        <v>390</v>
      </c>
      <c r="C201">
        <v>2004</v>
      </c>
      <c r="E201">
        <v>2004</v>
      </c>
      <c r="H201">
        <v>230</v>
      </c>
      <c r="I201">
        <v>1</v>
      </c>
      <c r="L201" t="s">
        <v>24</v>
      </c>
      <c r="AF201">
        <v>0.35</v>
      </c>
      <c r="AG201">
        <v>230</v>
      </c>
      <c r="AK201" t="s">
        <v>598</v>
      </c>
      <c r="AL201" t="s">
        <v>597</v>
      </c>
      <c r="AM201">
        <v>46.3964675</v>
      </c>
      <c r="AW201">
        <v>705180</v>
      </c>
      <c r="BD201">
        <v>8.1999999999999993</v>
      </c>
    </row>
    <row r="202" spans="1:56">
      <c r="A202" t="s">
        <v>599</v>
      </c>
      <c r="B202" t="s">
        <v>390</v>
      </c>
      <c r="C202">
        <v>2004</v>
      </c>
      <c r="E202">
        <v>2004</v>
      </c>
      <c r="H202">
        <v>600</v>
      </c>
      <c r="I202">
        <v>1</v>
      </c>
      <c r="L202" t="s">
        <v>24</v>
      </c>
      <c r="AF202">
        <v>0.23</v>
      </c>
      <c r="AG202">
        <v>600</v>
      </c>
      <c r="AK202" t="s">
        <v>598</v>
      </c>
      <c r="AL202" t="s">
        <v>597</v>
      </c>
      <c r="AM202">
        <v>46.3964675</v>
      </c>
      <c r="AW202">
        <v>1208880</v>
      </c>
      <c r="BD202">
        <v>8.4</v>
      </c>
    </row>
    <row r="203" spans="1:56">
      <c r="A203" t="s">
        <v>599</v>
      </c>
      <c r="B203" t="s">
        <v>390</v>
      </c>
      <c r="C203">
        <v>2004</v>
      </c>
      <c r="E203">
        <v>2004</v>
      </c>
      <c r="H203">
        <v>600</v>
      </c>
      <c r="I203">
        <v>1</v>
      </c>
      <c r="L203" t="s">
        <v>24</v>
      </c>
      <c r="AF203">
        <v>0.21</v>
      </c>
      <c r="AG203">
        <v>600</v>
      </c>
      <c r="AK203" t="s">
        <v>598</v>
      </c>
      <c r="AL203" t="s">
        <v>597</v>
      </c>
      <c r="AM203">
        <v>46.3964675</v>
      </c>
      <c r="AW203">
        <v>1103760</v>
      </c>
      <c r="BD203">
        <v>12.2</v>
      </c>
    </row>
    <row r="204" spans="1:56">
      <c r="A204" t="s">
        <v>599</v>
      </c>
      <c r="B204" t="s">
        <v>390</v>
      </c>
      <c r="C204">
        <v>2004</v>
      </c>
      <c r="E204">
        <v>2004</v>
      </c>
      <c r="H204">
        <v>500</v>
      </c>
      <c r="I204">
        <v>1</v>
      </c>
      <c r="L204" t="s">
        <v>24</v>
      </c>
      <c r="AF204">
        <v>0.25</v>
      </c>
      <c r="AG204">
        <v>500</v>
      </c>
      <c r="AK204" t="s">
        <v>598</v>
      </c>
      <c r="AL204" t="s">
        <v>597</v>
      </c>
      <c r="AM204">
        <v>46.3964675</v>
      </c>
      <c r="AW204">
        <v>1095000</v>
      </c>
      <c r="BD204">
        <v>14.5</v>
      </c>
    </row>
    <row r="205" spans="1:56">
      <c r="A205" t="s">
        <v>599</v>
      </c>
      <c r="B205" t="s">
        <v>390</v>
      </c>
      <c r="C205">
        <v>2004</v>
      </c>
      <c r="E205">
        <v>2004</v>
      </c>
      <c r="H205">
        <v>500</v>
      </c>
      <c r="I205">
        <v>1</v>
      </c>
      <c r="L205" t="s">
        <v>31</v>
      </c>
      <c r="AF205">
        <v>0.28999999999999998</v>
      </c>
      <c r="AG205">
        <v>500</v>
      </c>
      <c r="AK205" t="s">
        <v>598</v>
      </c>
      <c r="AL205" t="s">
        <v>597</v>
      </c>
      <c r="AM205">
        <v>46.3964675</v>
      </c>
      <c r="AW205">
        <v>1270200</v>
      </c>
      <c r="BD205">
        <v>22</v>
      </c>
    </row>
    <row r="206" spans="1:56">
      <c r="A206" t="s">
        <v>566</v>
      </c>
      <c r="B206" t="s">
        <v>415</v>
      </c>
      <c r="C206">
        <v>2005</v>
      </c>
      <c r="E206">
        <v>2005</v>
      </c>
      <c r="G206" t="s">
        <v>119</v>
      </c>
      <c r="U206">
        <v>20</v>
      </c>
      <c r="X206">
        <v>34.31</v>
      </c>
      <c r="AC206">
        <v>0.16</v>
      </c>
      <c r="AK206" t="s">
        <v>694</v>
      </c>
      <c r="AL206" t="s">
        <v>597</v>
      </c>
      <c r="AM206">
        <v>57.6165175</v>
      </c>
      <c r="AO206" t="s">
        <v>356</v>
      </c>
      <c r="BB206">
        <v>0.03</v>
      </c>
    </row>
    <row r="207" spans="1:56">
      <c r="A207" t="s">
        <v>566</v>
      </c>
      <c r="B207" t="s">
        <v>415</v>
      </c>
      <c r="C207">
        <v>2005</v>
      </c>
      <c r="E207">
        <v>2005</v>
      </c>
      <c r="G207" t="s">
        <v>119</v>
      </c>
      <c r="U207">
        <v>20</v>
      </c>
      <c r="X207">
        <v>34.93</v>
      </c>
      <c r="AC207">
        <v>0.16</v>
      </c>
      <c r="AK207" t="s">
        <v>694</v>
      </c>
      <c r="AL207" t="s">
        <v>597</v>
      </c>
      <c r="AM207">
        <v>57.6165175</v>
      </c>
      <c r="AO207" t="s">
        <v>356</v>
      </c>
      <c r="BB207">
        <v>0.03</v>
      </c>
    </row>
    <row r="208" spans="1:56">
      <c r="A208" t="s">
        <v>566</v>
      </c>
      <c r="B208" t="s">
        <v>415</v>
      </c>
      <c r="C208">
        <v>2005</v>
      </c>
      <c r="E208">
        <v>2005</v>
      </c>
      <c r="G208" t="s">
        <v>119</v>
      </c>
      <c r="U208">
        <v>20</v>
      </c>
      <c r="X208">
        <v>30.44</v>
      </c>
      <c r="AC208">
        <v>0.16</v>
      </c>
      <c r="AK208" t="s">
        <v>694</v>
      </c>
      <c r="AL208" t="s">
        <v>597</v>
      </c>
      <c r="AM208">
        <v>57.6165175</v>
      </c>
      <c r="AO208" t="s">
        <v>356</v>
      </c>
      <c r="BB208">
        <v>0.03</v>
      </c>
    </row>
    <row r="209" spans="1:56">
      <c r="A209" t="s">
        <v>569</v>
      </c>
      <c r="B209" t="s">
        <v>423</v>
      </c>
      <c r="C209">
        <v>2005</v>
      </c>
      <c r="E209">
        <v>2005</v>
      </c>
      <c r="F209" t="s">
        <v>74</v>
      </c>
      <c r="G209" t="s">
        <v>160</v>
      </c>
      <c r="H209">
        <v>300</v>
      </c>
      <c r="I209">
        <v>1</v>
      </c>
      <c r="N209">
        <v>6.4</v>
      </c>
      <c r="P209">
        <v>1.8</v>
      </c>
      <c r="U209">
        <v>30</v>
      </c>
      <c r="X209">
        <v>29.5</v>
      </c>
      <c r="Z209">
        <v>0.12</v>
      </c>
      <c r="AC209">
        <v>1.02</v>
      </c>
      <c r="AD209" t="s">
        <v>341</v>
      </c>
      <c r="AF209">
        <v>0.2</v>
      </c>
      <c r="AG209">
        <v>300</v>
      </c>
      <c r="AH209">
        <v>1924231</v>
      </c>
      <c r="AK209" t="s">
        <v>689</v>
      </c>
      <c r="AL209" t="s">
        <v>597</v>
      </c>
      <c r="AM209">
        <v>57.6165175</v>
      </c>
      <c r="AO209" t="s">
        <v>356</v>
      </c>
      <c r="AQ209">
        <v>534508</v>
      </c>
      <c r="AW209">
        <v>525600</v>
      </c>
      <c r="AY209">
        <v>15768000</v>
      </c>
      <c r="AZ209">
        <v>52560000</v>
      </c>
      <c r="BB209">
        <v>0.03</v>
      </c>
    </row>
    <row r="210" spans="1:56">
      <c r="A210" t="s">
        <v>569</v>
      </c>
      <c r="B210" t="s">
        <v>423</v>
      </c>
      <c r="C210">
        <v>2005</v>
      </c>
      <c r="E210">
        <v>2005</v>
      </c>
      <c r="F210" t="s">
        <v>74</v>
      </c>
      <c r="G210" t="s">
        <v>160</v>
      </c>
      <c r="H210">
        <v>400</v>
      </c>
      <c r="I210">
        <v>1</v>
      </c>
      <c r="N210">
        <v>9.3000000000000007</v>
      </c>
      <c r="P210">
        <v>2.6</v>
      </c>
      <c r="U210">
        <v>30</v>
      </c>
      <c r="X210">
        <v>20.3</v>
      </c>
      <c r="Z210">
        <v>0.18</v>
      </c>
      <c r="AC210">
        <v>1.48</v>
      </c>
      <c r="AD210" t="s">
        <v>341</v>
      </c>
      <c r="AF210">
        <v>0.2</v>
      </c>
      <c r="AG210">
        <v>400</v>
      </c>
      <c r="AH210">
        <v>3728394</v>
      </c>
      <c r="AK210" t="s">
        <v>689</v>
      </c>
      <c r="AL210" t="s">
        <v>597</v>
      </c>
      <c r="AM210">
        <v>57.6165175</v>
      </c>
      <c r="AO210" t="s">
        <v>356</v>
      </c>
      <c r="AQ210">
        <v>1035665</v>
      </c>
      <c r="AW210">
        <v>700800</v>
      </c>
      <c r="AY210">
        <v>21024000</v>
      </c>
      <c r="AZ210">
        <v>52560000</v>
      </c>
      <c r="BB210">
        <v>0.05</v>
      </c>
    </row>
    <row r="211" spans="1:56">
      <c r="A211" t="s">
        <v>637</v>
      </c>
      <c r="B211" t="s">
        <v>419</v>
      </c>
      <c r="C211">
        <v>2005</v>
      </c>
      <c r="E211">
        <v>2005</v>
      </c>
      <c r="H211">
        <v>800</v>
      </c>
      <c r="I211">
        <v>1</v>
      </c>
      <c r="L211" t="s">
        <v>24</v>
      </c>
      <c r="Q211">
        <v>441504</v>
      </c>
      <c r="S211">
        <v>0.55000000000000004</v>
      </c>
      <c r="U211">
        <v>30</v>
      </c>
      <c r="AF211">
        <v>0.2</v>
      </c>
      <c r="AG211">
        <v>800</v>
      </c>
      <c r="AK211" t="s">
        <v>598</v>
      </c>
      <c r="AL211" t="s">
        <v>597</v>
      </c>
      <c r="AM211">
        <v>57.6165175</v>
      </c>
      <c r="AW211">
        <v>1401600</v>
      </c>
      <c r="AY211">
        <v>42048000</v>
      </c>
      <c r="AZ211">
        <v>52560000</v>
      </c>
      <c r="BD211">
        <v>10.5</v>
      </c>
    </row>
    <row r="212" spans="1:56">
      <c r="A212" t="s">
        <v>637</v>
      </c>
      <c r="B212" t="s">
        <v>419</v>
      </c>
      <c r="C212">
        <v>2005</v>
      </c>
      <c r="E212">
        <v>2005</v>
      </c>
      <c r="H212">
        <v>2000</v>
      </c>
      <c r="I212">
        <v>1</v>
      </c>
      <c r="L212" t="s">
        <v>31</v>
      </c>
      <c r="Q212">
        <v>1408608</v>
      </c>
      <c r="S212">
        <v>0.7</v>
      </c>
      <c r="U212">
        <v>20</v>
      </c>
      <c r="AF212">
        <v>0.3</v>
      </c>
      <c r="AG212">
        <v>2000</v>
      </c>
      <c r="AK212" t="s">
        <v>598</v>
      </c>
      <c r="AL212" t="s">
        <v>597</v>
      </c>
      <c r="AM212">
        <v>57.6165175</v>
      </c>
      <c r="AW212">
        <v>5256000</v>
      </c>
      <c r="AY212">
        <v>105120000</v>
      </c>
      <c r="AZ212">
        <v>52560000</v>
      </c>
      <c r="BD212">
        <v>13.4</v>
      </c>
    </row>
    <row r="213" spans="1:56">
      <c r="A213" t="s">
        <v>569</v>
      </c>
      <c r="B213" t="s">
        <v>423</v>
      </c>
      <c r="C213">
        <v>2005</v>
      </c>
      <c r="E213">
        <v>2005</v>
      </c>
      <c r="H213">
        <v>400</v>
      </c>
      <c r="I213">
        <v>1</v>
      </c>
      <c r="L213" t="s">
        <v>24</v>
      </c>
      <c r="Q213">
        <v>525600</v>
      </c>
      <c r="S213">
        <v>1.31</v>
      </c>
      <c r="U213">
        <v>50</v>
      </c>
      <c r="AF213">
        <v>0.2</v>
      </c>
      <c r="AG213">
        <v>400</v>
      </c>
      <c r="AK213" t="s">
        <v>598</v>
      </c>
      <c r="AL213" t="s">
        <v>597</v>
      </c>
      <c r="AM213">
        <v>57.6165175</v>
      </c>
      <c r="AW213">
        <v>700800</v>
      </c>
      <c r="AY213">
        <v>35040000</v>
      </c>
      <c r="AZ213">
        <v>87600000</v>
      </c>
      <c r="BD213">
        <v>15</v>
      </c>
    </row>
    <row r="214" spans="1:56">
      <c r="A214" t="s">
        <v>569</v>
      </c>
      <c r="B214" t="s">
        <v>423</v>
      </c>
      <c r="C214">
        <v>2005</v>
      </c>
      <c r="E214">
        <v>2005</v>
      </c>
      <c r="H214">
        <v>400</v>
      </c>
      <c r="I214">
        <v>1</v>
      </c>
      <c r="L214" t="s">
        <v>24</v>
      </c>
      <c r="Q214">
        <v>426787</v>
      </c>
      <c r="S214">
        <v>1.07</v>
      </c>
      <c r="U214">
        <v>30</v>
      </c>
      <c r="AF214">
        <v>0.2</v>
      </c>
      <c r="AG214">
        <v>400</v>
      </c>
      <c r="AK214" t="s">
        <v>598</v>
      </c>
      <c r="AL214" t="s">
        <v>597</v>
      </c>
      <c r="AM214">
        <v>57.6165175</v>
      </c>
      <c r="AW214">
        <v>700800</v>
      </c>
      <c r="AY214">
        <v>21024000</v>
      </c>
      <c r="AZ214">
        <v>52560000</v>
      </c>
      <c r="BD214">
        <v>20.3</v>
      </c>
    </row>
    <row r="215" spans="1:56">
      <c r="A215" t="s">
        <v>569</v>
      </c>
      <c r="B215" t="s">
        <v>423</v>
      </c>
      <c r="C215">
        <v>2005</v>
      </c>
      <c r="E215">
        <v>2005</v>
      </c>
      <c r="H215">
        <v>300</v>
      </c>
      <c r="I215">
        <v>1</v>
      </c>
      <c r="L215" t="s">
        <v>24</v>
      </c>
      <c r="Q215">
        <v>551880</v>
      </c>
      <c r="S215">
        <v>1.84</v>
      </c>
      <c r="U215">
        <v>50</v>
      </c>
      <c r="AF215">
        <v>0.2</v>
      </c>
      <c r="AG215">
        <v>300</v>
      </c>
      <c r="AK215" t="s">
        <v>598</v>
      </c>
      <c r="AL215" t="s">
        <v>597</v>
      </c>
      <c r="AM215">
        <v>57.6165175</v>
      </c>
      <c r="AW215">
        <v>525600</v>
      </c>
      <c r="AY215">
        <v>26280000</v>
      </c>
      <c r="AZ215">
        <v>87600000</v>
      </c>
      <c r="BD215">
        <v>21</v>
      </c>
    </row>
    <row r="216" spans="1:56">
      <c r="A216" t="s">
        <v>569</v>
      </c>
      <c r="B216" t="s">
        <v>423</v>
      </c>
      <c r="C216">
        <v>2005</v>
      </c>
      <c r="E216">
        <v>2005</v>
      </c>
      <c r="H216">
        <v>400</v>
      </c>
      <c r="I216">
        <v>1</v>
      </c>
      <c r="L216" t="s">
        <v>24</v>
      </c>
      <c r="Q216">
        <v>378432</v>
      </c>
      <c r="S216">
        <v>0.95</v>
      </c>
      <c r="U216">
        <v>20</v>
      </c>
      <c r="AF216">
        <v>0.2</v>
      </c>
      <c r="AG216">
        <v>400</v>
      </c>
      <c r="AK216" t="s">
        <v>598</v>
      </c>
      <c r="AL216" t="s">
        <v>597</v>
      </c>
      <c r="AM216">
        <v>57.6165175</v>
      </c>
      <c r="AW216">
        <v>700800</v>
      </c>
      <c r="AY216">
        <v>14016000</v>
      </c>
      <c r="AZ216">
        <v>35040000</v>
      </c>
      <c r="BD216">
        <v>27</v>
      </c>
    </row>
    <row r="217" spans="1:56">
      <c r="A217" t="s">
        <v>569</v>
      </c>
      <c r="B217" t="s">
        <v>423</v>
      </c>
      <c r="C217">
        <v>2005</v>
      </c>
      <c r="E217">
        <v>2005</v>
      </c>
      <c r="H217">
        <v>300</v>
      </c>
      <c r="I217">
        <v>1</v>
      </c>
      <c r="L217" t="s">
        <v>24</v>
      </c>
      <c r="Q217">
        <v>465156</v>
      </c>
      <c r="S217">
        <v>1.55</v>
      </c>
      <c r="U217">
        <v>30</v>
      </c>
      <c r="AF217">
        <v>0.2</v>
      </c>
      <c r="AG217">
        <v>300</v>
      </c>
      <c r="AK217" t="s">
        <v>598</v>
      </c>
      <c r="AL217" t="s">
        <v>597</v>
      </c>
      <c r="AM217">
        <v>57.6165175</v>
      </c>
      <c r="AW217">
        <v>525600</v>
      </c>
      <c r="AY217">
        <v>15768000</v>
      </c>
      <c r="AZ217">
        <v>52560000</v>
      </c>
      <c r="BD217">
        <v>29.5</v>
      </c>
    </row>
    <row r="218" spans="1:56">
      <c r="A218" t="s">
        <v>569</v>
      </c>
      <c r="B218" t="s">
        <v>423</v>
      </c>
      <c r="C218">
        <v>2005</v>
      </c>
      <c r="E218">
        <v>2005</v>
      </c>
      <c r="H218">
        <v>300</v>
      </c>
      <c r="I218">
        <v>1</v>
      </c>
      <c r="L218" t="s">
        <v>24</v>
      </c>
      <c r="Q218">
        <v>420480</v>
      </c>
      <c r="S218">
        <v>1.4</v>
      </c>
      <c r="U218">
        <v>20</v>
      </c>
      <c r="AF218">
        <v>0.2</v>
      </c>
      <c r="AG218">
        <v>300</v>
      </c>
      <c r="AK218" t="s">
        <v>598</v>
      </c>
      <c r="AL218" t="s">
        <v>597</v>
      </c>
      <c r="AM218">
        <v>57.6165175</v>
      </c>
      <c r="AW218">
        <v>525600</v>
      </c>
      <c r="AY218">
        <v>10512000</v>
      </c>
      <c r="AZ218">
        <v>35040000</v>
      </c>
      <c r="BD218">
        <v>40</v>
      </c>
    </row>
    <row r="219" spans="1:56">
      <c r="A219" t="s">
        <v>569</v>
      </c>
      <c r="B219" t="s">
        <v>423</v>
      </c>
      <c r="C219">
        <v>2005</v>
      </c>
      <c r="E219">
        <v>2005</v>
      </c>
      <c r="H219">
        <v>400</v>
      </c>
      <c r="I219">
        <v>1</v>
      </c>
      <c r="L219" t="s">
        <v>24</v>
      </c>
      <c r="Q219">
        <v>343392</v>
      </c>
      <c r="S219">
        <v>0.86</v>
      </c>
      <c r="U219">
        <v>10</v>
      </c>
      <c r="AF219">
        <v>0.2</v>
      </c>
      <c r="AG219">
        <v>400</v>
      </c>
      <c r="AK219" t="s">
        <v>598</v>
      </c>
      <c r="AL219" t="s">
        <v>597</v>
      </c>
      <c r="AM219">
        <v>57.6165175</v>
      </c>
      <c r="AW219">
        <v>700800</v>
      </c>
      <c r="AY219">
        <v>7008000</v>
      </c>
      <c r="AZ219">
        <v>17520000</v>
      </c>
      <c r="BD219">
        <v>49</v>
      </c>
    </row>
    <row r="220" spans="1:56">
      <c r="A220" t="s">
        <v>569</v>
      </c>
      <c r="B220" t="s">
        <v>423</v>
      </c>
      <c r="C220">
        <v>2005</v>
      </c>
      <c r="E220">
        <v>2005</v>
      </c>
      <c r="H220">
        <v>300</v>
      </c>
      <c r="I220">
        <v>1</v>
      </c>
      <c r="L220" t="s">
        <v>24</v>
      </c>
      <c r="Q220">
        <v>378432</v>
      </c>
      <c r="S220">
        <v>1.26</v>
      </c>
      <c r="U220">
        <v>10</v>
      </c>
      <c r="AF220">
        <v>0.2</v>
      </c>
      <c r="AG220">
        <v>300</v>
      </c>
      <c r="AK220" t="s">
        <v>598</v>
      </c>
      <c r="AL220" t="s">
        <v>597</v>
      </c>
      <c r="AM220">
        <v>57.6165175</v>
      </c>
      <c r="AW220">
        <v>525600</v>
      </c>
      <c r="AY220">
        <v>5256000</v>
      </c>
      <c r="AZ220">
        <v>17520000</v>
      </c>
      <c r="BD220">
        <v>72</v>
      </c>
    </row>
    <row r="221" spans="1:56">
      <c r="A221" t="s">
        <v>630</v>
      </c>
      <c r="B221" t="s">
        <v>425</v>
      </c>
      <c r="C221">
        <v>2005</v>
      </c>
      <c r="E221">
        <v>2005</v>
      </c>
      <c r="H221">
        <v>800</v>
      </c>
      <c r="I221">
        <v>1</v>
      </c>
      <c r="L221" t="s">
        <v>24</v>
      </c>
      <c r="Q221">
        <v>462528</v>
      </c>
      <c r="S221">
        <v>0.57999999999999996</v>
      </c>
      <c r="U221">
        <v>30</v>
      </c>
      <c r="AF221">
        <v>0.2</v>
      </c>
      <c r="AG221">
        <v>800</v>
      </c>
      <c r="AK221" t="s">
        <v>598</v>
      </c>
      <c r="AL221" t="s">
        <v>597</v>
      </c>
      <c r="AM221">
        <v>57.6165175</v>
      </c>
      <c r="AW221">
        <v>1401600</v>
      </c>
      <c r="AY221">
        <v>42048000</v>
      </c>
      <c r="AZ221">
        <v>52560000</v>
      </c>
      <c r="BD221">
        <v>11</v>
      </c>
    </row>
    <row r="222" spans="1:56">
      <c r="A222" t="s">
        <v>630</v>
      </c>
      <c r="B222" t="s">
        <v>425</v>
      </c>
      <c r="C222">
        <v>2005</v>
      </c>
      <c r="E222">
        <v>2005</v>
      </c>
      <c r="H222">
        <v>2000</v>
      </c>
      <c r="I222">
        <v>1</v>
      </c>
      <c r="L222" t="s">
        <v>31</v>
      </c>
      <c r="Q222">
        <v>1366560</v>
      </c>
      <c r="S222">
        <v>0.68</v>
      </c>
      <c r="U222">
        <v>20</v>
      </c>
      <c r="AF222">
        <v>0.3</v>
      </c>
      <c r="AG222">
        <v>2000</v>
      </c>
      <c r="AK222" t="s">
        <v>598</v>
      </c>
      <c r="AL222" t="s">
        <v>597</v>
      </c>
      <c r="AM222">
        <v>57.6165175</v>
      </c>
      <c r="AW222">
        <v>5256000</v>
      </c>
      <c r="AY222">
        <v>105120000</v>
      </c>
      <c r="AZ222">
        <v>52560000</v>
      </c>
      <c r="BD222">
        <v>13</v>
      </c>
    </row>
    <row r="223" spans="1:56">
      <c r="A223" t="s">
        <v>566</v>
      </c>
      <c r="B223" t="s">
        <v>415</v>
      </c>
      <c r="C223">
        <v>2005</v>
      </c>
      <c r="E223">
        <v>2005</v>
      </c>
      <c r="H223">
        <v>500</v>
      </c>
      <c r="I223">
        <v>1</v>
      </c>
      <c r="L223" t="s">
        <v>24</v>
      </c>
      <c r="U223">
        <v>20</v>
      </c>
      <c r="AG223">
        <v>500</v>
      </c>
      <c r="AK223" t="s">
        <v>598</v>
      </c>
      <c r="AL223" t="s">
        <v>597</v>
      </c>
      <c r="AM223">
        <v>57.6165175</v>
      </c>
      <c r="BD223">
        <v>16.86</v>
      </c>
    </row>
    <row r="224" spans="1:56">
      <c r="A224" t="s">
        <v>708</v>
      </c>
      <c r="B224" t="s">
        <v>395</v>
      </c>
      <c r="C224">
        <v>2006</v>
      </c>
      <c r="E224">
        <v>2006</v>
      </c>
      <c r="H224">
        <v>3000</v>
      </c>
      <c r="I224">
        <v>1</v>
      </c>
      <c r="N224">
        <v>1.01</v>
      </c>
      <c r="P224">
        <v>0.28000000000000003</v>
      </c>
      <c r="U224">
        <v>20</v>
      </c>
      <c r="X224">
        <v>187.61</v>
      </c>
      <c r="AC224">
        <v>0.11</v>
      </c>
      <c r="AF224">
        <v>0.30020000000000002</v>
      </c>
      <c r="AG224">
        <v>3000</v>
      </c>
      <c r="AH224">
        <v>3028000</v>
      </c>
      <c r="AJ224">
        <v>2.57</v>
      </c>
      <c r="AK224" t="s">
        <v>694</v>
      </c>
      <c r="AL224" t="s">
        <v>597</v>
      </c>
      <c r="AM224">
        <v>71.980400000000003</v>
      </c>
      <c r="AO224" t="s">
        <v>356</v>
      </c>
      <c r="AS224">
        <v>7795000</v>
      </c>
      <c r="AW224">
        <v>7889256</v>
      </c>
      <c r="AY224">
        <v>157800000</v>
      </c>
      <c r="AZ224">
        <v>52600000</v>
      </c>
      <c r="BB224">
        <v>0.01</v>
      </c>
    </row>
    <row r="225" spans="1:56">
      <c r="A225" t="s">
        <v>701</v>
      </c>
      <c r="B225" t="s">
        <v>399</v>
      </c>
      <c r="C225">
        <v>2006</v>
      </c>
      <c r="E225">
        <v>2006</v>
      </c>
      <c r="F225" t="s">
        <v>27</v>
      </c>
      <c r="G225" t="s">
        <v>205</v>
      </c>
      <c r="H225">
        <v>1650</v>
      </c>
      <c r="I225">
        <v>182</v>
      </c>
      <c r="J225" t="s">
        <v>405</v>
      </c>
      <c r="L225" t="s">
        <v>24</v>
      </c>
      <c r="N225">
        <v>737.63</v>
      </c>
      <c r="P225">
        <v>204.9</v>
      </c>
      <c r="U225">
        <v>20</v>
      </c>
      <c r="X225">
        <v>0.33</v>
      </c>
      <c r="AC225">
        <v>59.97</v>
      </c>
      <c r="AF225">
        <v>0.39</v>
      </c>
      <c r="AG225">
        <v>300300</v>
      </c>
      <c r="AH225">
        <v>221511174740</v>
      </c>
      <c r="AJ225">
        <v>0.2787</v>
      </c>
      <c r="AK225" t="s">
        <v>694</v>
      </c>
      <c r="AL225" t="s">
        <v>597</v>
      </c>
      <c r="AM225">
        <v>71.980400000000003</v>
      </c>
      <c r="AO225" t="s">
        <v>356</v>
      </c>
      <c r="AS225">
        <v>617351644</v>
      </c>
      <c r="AU225">
        <v>2.06</v>
      </c>
      <c r="AW225">
        <v>1025944920</v>
      </c>
      <c r="AY225">
        <v>20518898400</v>
      </c>
      <c r="AZ225">
        <v>68328000</v>
      </c>
      <c r="BB225">
        <v>3</v>
      </c>
    </row>
    <row r="226" spans="1:56">
      <c r="A226" t="s">
        <v>701</v>
      </c>
      <c r="B226" t="s">
        <v>399</v>
      </c>
      <c r="C226">
        <v>2006</v>
      </c>
      <c r="E226">
        <v>2006</v>
      </c>
      <c r="F226" t="s">
        <v>27</v>
      </c>
      <c r="G226" t="s">
        <v>205</v>
      </c>
      <c r="H226">
        <v>3000</v>
      </c>
      <c r="I226">
        <v>100</v>
      </c>
      <c r="L226" t="s">
        <v>31</v>
      </c>
      <c r="M226">
        <v>80</v>
      </c>
      <c r="N226">
        <v>966.16</v>
      </c>
      <c r="P226">
        <v>268.38</v>
      </c>
      <c r="U226">
        <v>20</v>
      </c>
      <c r="X226">
        <v>0.35</v>
      </c>
      <c r="AC226">
        <v>56.57</v>
      </c>
      <c r="AF226">
        <v>0.54159999999999997</v>
      </c>
      <c r="AG226">
        <v>300000</v>
      </c>
      <c r="AH226">
        <v>289849355762</v>
      </c>
      <c r="AJ226">
        <v>0.27939999999999998</v>
      </c>
      <c r="AK226" t="s">
        <v>694</v>
      </c>
      <c r="AL226" t="s">
        <v>597</v>
      </c>
      <c r="AM226">
        <v>71.980400000000003</v>
      </c>
      <c r="AO226" t="s">
        <v>340</v>
      </c>
      <c r="AS226">
        <v>809839100</v>
      </c>
      <c r="AU226">
        <v>2.7</v>
      </c>
      <c r="AW226">
        <v>1423324800</v>
      </c>
      <c r="AY226">
        <v>28466496000</v>
      </c>
      <c r="AZ226">
        <v>94888320</v>
      </c>
      <c r="BB226">
        <v>2.83</v>
      </c>
    </row>
    <row r="227" spans="1:56">
      <c r="A227" t="s">
        <v>565</v>
      </c>
      <c r="B227" t="s">
        <v>400</v>
      </c>
      <c r="C227">
        <v>2006</v>
      </c>
      <c r="E227">
        <v>2006</v>
      </c>
      <c r="F227" t="s">
        <v>109</v>
      </c>
      <c r="G227" t="s">
        <v>73</v>
      </c>
      <c r="H227">
        <v>7260</v>
      </c>
      <c r="I227">
        <v>1</v>
      </c>
      <c r="L227" t="s">
        <v>24</v>
      </c>
      <c r="M227">
        <v>55</v>
      </c>
      <c r="U227">
        <v>20</v>
      </c>
      <c r="X227">
        <v>19.2</v>
      </c>
      <c r="Z227">
        <v>0.19</v>
      </c>
      <c r="AC227">
        <v>1.04</v>
      </c>
      <c r="AD227" t="s">
        <v>33</v>
      </c>
      <c r="AE227">
        <v>50</v>
      </c>
      <c r="AG227">
        <v>7260</v>
      </c>
      <c r="AK227" t="s">
        <v>689</v>
      </c>
      <c r="AL227" t="s">
        <v>597</v>
      </c>
      <c r="AM227">
        <v>71.980400000000003</v>
      </c>
      <c r="AO227" t="s">
        <v>340</v>
      </c>
      <c r="BB227">
        <v>0.05</v>
      </c>
      <c r="BD227">
        <v>14.8</v>
      </c>
    </row>
    <row r="228" spans="1:56">
      <c r="A228" t="s">
        <v>571</v>
      </c>
      <c r="B228" t="s">
        <v>434</v>
      </c>
      <c r="C228">
        <v>2006</v>
      </c>
      <c r="E228">
        <v>2006</v>
      </c>
      <c r="G228" t="s">
        <v>212</v>
      </c>
      <c r="H228">
        <v>1500</v>
      </c>
      <c r="I228">
        <v>1</v>
      </c>
      <c r="X228">
        <v>30</v>
      </c>
      <c r="Z228">
        <v>0.12</v>
      </c>
      <c r="AD228" t="s">
        <v>33</v>
      </c>
      <c r="AG228">
        <v>1500</v>
      </c>
      <c r="AK228" t="s">
        <v>689</v>
      </c>
      <c r="AL228" t="s">
        <v>597</v>
      </c>
      <c r="AM228">
        <v>71.980400000000003</v>
      </c>
      <c r="AO228" t="s">
        <v>356</v>
      </c>
      <c r="BB228">
        <v>0.03</v>
      </c>
      <c r="BD228">
        <v>10.199999999999999</v>
      </c>
    </row>
    <row r="229" spans="1:56">
      <c r="A229" t="s">
        <v>571</v>
      </c>
      <c r="B229" t="s">
        <v>434</v>
      </c>
      <c r="C229">
        <v>2006</v>
      </c>
      <c r="E229">
        <v>2006</v>
      </c>
      <c r="G229" t="s">
        <v>212</v>
      </c>
      <c r="H229">
        <v>1500</v>
      </c>
      <c r="I229">
        <v>1</v>
      </c>
      <c r="L229" t="s">
        <v>24</v>
      </c>
      <c r="X229">
        <v>29.4</v>
      </c>
      <c r="Z229">
        <v>0.12</v>
      </c>
      <c r="AD229" t="s">
        <v>380</v>
      </c>
      <c r="AG229">
        <v>1500</v>
      </c>
      <c r="AK229" t="s">
        <v>689</v>
      </c>
      <c r="AL229" t="s">
        <v>597</v>
      </c>
      <c r="AM229">
        <v>71.980400000000003</v>
      </c>
      <c r="AO229" t="s">
        <v>356</v>
      </c>
      <c r="BB229">
        <v>0.03</v>
      </c>
      <c r="BD229">
        <v>10.199999999999999</v>
      </c>
    </row>
    <row r="230" spans="1:56">
      <c r="A230" t="s">
        <v>571</v>
      </c>
      <c r="B230" t="s">
        <v>434</v>
      </c>
      <c r="C230">
        <v>2006</v>
      </c>
      <c r="E230">
        <v>2006</v>
      </c>
      <c r="G230" t="s">
        <v>212</v>
      </c>
      <c r="H230">
        <v>2500</v>
      </c>
      <c r="I230">
        <v>1</v>
      </c>
      <c r="X230">
        <v>32.700000000000003</v>
      </c>
      <c r="Z230">
        <v>0.11</v>
      </c>
      <c r="AD230" t="s">
        <v>33</v>
      </c>
      <c r="AG230">
        <v>2500</v>
      </c>
      <c r="AK230" t="s">
        <v>689</v>
      </c>
      <c r="AL230" t="s">
        <v>597</v>
      </c>
      <c r="AM230">
        <v>71.980400000000003</v>
      </c>
      <c r="AO230" t="s">
        <v>356</v>
      </c>
      <c r="BB230">
        <v>0.03</v>
      </c>
      <c r="BD230">
        <v>8.9</v>
      </c>
    </row>
    <row r="231" spans="1:56">
      <c r="A231" t="s">
        <v>571</v>
      </c>
      <c r="B231" t="s">
        <v>434</v>
      </c>
      <c r="C231">
        <v>2006</v>
      </c>
      <c r="E231">
        <v>2006</v>
      </c>
      <c r="G231" t="s">
        <v>212</v>
      </c>
      <c r="H231">
        <v>2500</v>
      </c>
      <c r="I231">
        <v>1</v>
      </c>
      <c r="L231" t="s">
        <v>31</v>
      </c>
      <c r="X231">
        <v>32.299999999999997</v>
      </c>
      <c r="Z231">
        <v>0.11</v>
      </c>
      <c r="AD231" t="s">
        <v>380</v>
      </c>
      <c r="AG231">
        <v>2500</v>
      </c>
      <c r="AK231" t="s">
        <v>689</v>
      </c>
      <c r="AL231" t="s">
        <v>597</v>
      </c>
      <c r="AM231">
        <v>71.980400000000003</v>
      </c>
      <c r="AO231" t="s">
        <v>356</v>
      </c>
      <c r="BB231">
        <v>0.03</v>
      </c>
      <c r="BD231">
        <v>8.9</v>
      </c>
    </row>
    <row r="232" spans="1:56">
      <c r="A232" t="s">
        <v>646</v>
      </c>
      <c r="B232" t="s">
        <v>532</v>
      </c>
      <c r="C232">
        <v>2006</v>
      </c>
      <c r="E232">
        <v>2006</v>
      </c>
      <c r="H232">
        <v>1650</v>
      </c>
      <c r="I232">
        <v>1</v>
      </c>
      <c r="J232" t="s">
        <v>545</v>
      </c>
      <c r="L232" t="s">
        <v>24</v>
      </c>
      <c r="Q232">
        <v>794825</v>
      </c>
      <c r="S232">
        <v>0.48</v>
      </c>
      <c r="U232">
        <v>20</v>
      </c>
      <c r="AE232">
        <v>82</v>
      </c>
      <c r="AF232">
        <v>0.39</v>
      </c>
      <c r="AG232">
        <v>1650</v>
      </c>
      <c r="AK232" t="s">
        <v>643</v>
      </c>
      <c r="AL232" t="s">
        <v>597</v>
      </c>
      <c r="AM232">
        <v>71.980400000000003</v>
      </c>
      <c r="AW232">
        <v>5637060</v>
      </c>
      <c r="AY232">
        <v>112741200</v>
      </c>
      <c r="AZ232">
        <v>68328000</v>
      </c>
      <c r="BD232">
        <v>7.05</v>
      </c>
    </row>
    <row r="233" spans="1:56">
      <c r="A233" t="s">
        <v>571</v>
      </c>
      <c r="B233" t="s">
        <v>434</v>
      </c>
      <c r="C233">
        <v>2006</v>
      </c>
      <c r="E233">
        <v>2006</v>
      </c>
      <c r="H233">
        <v>2500</v>
      </c>
      <c r="I233">
        <v>1</v>
      </c>
      <c r="L233" t="s">
        <v>31</v>
      </c>
      <c r="AG233">
        <v>2500</v>
      </c>
      <c r="AK233" t="s">
        <v>598</v>
      </c>
      <c r="AL233" t="s">
        <v>597</v>
      </c>
      <c r="AM233">
        <v>71.980400000000003</v>
      </c>
      <c r="BD233">
        <v>9.15</v>
      </c>
    </row>
    <row r="234" spans="1:56">
      <c r="A234" t="s">
        <v>571</v>
      </c>
      <c r="B234" t="s">
        <v>434</v>
      </c>
      <c r="C234">
        <v>2006</v>
      </c>
      <c r="E234">
        <v>2006</v>
      </c>
      <c r="H234">
        <v>1500</v>
      </c>
      <c r="I234">
        <v>1</v>
      </c>
      <c r="L234" t="s">
        <v>24</v>
      </c>
      <c r="AG234">
        <v>1500</v>
      </c>
      <c r="AK234" t="s">
        <v>598</v>
      </c>
      <c r="AL234" t="s">
        <v>597</v>
      </c>
      <c r="AM234">
        <v>71.980400000000003</v>
      </c>
      <c r="BD234">
        <v>10.86</v>
      </c>
    </row>
    <row r="235" spans="1:56">
      <c r="A235" t="s">
        <v>607</v>
      </c>
      <c r="B235" t="s">
        <v>399</v>
      </c>
      <c r="C235">
        <v>2006</v>
      </c>
      <c r="E235">
        <v>2006</v>
      </c>
      <c r="H235">
        <v>1650</v>
      </c>
      <c r="I235">
        <v>1</v>
      </c>
      <c r="L235" t="s">
        <v>24</v>
      </c>
      <c r="Q235">
        <v>822652</v>
      </c>
      <c r="S235">
        <v>0.5</v>
      </c>
      <c r="U235">
        <v>20</v>
      </c>
      <c r="AF235">
        <v>0.40799999999999997</v>
      </c>
      <c r="AG235">
        <v>1650</v>
      </c>
      <c r="AK235" t="s">
        <v>598</v>
      </c>
      <c r="AL235" t="s">
        <v>597</v>
      </c>
      <c r="AM235">
        <v>71.980400000000003</v>
      </c>
      <c r="AW235">
        <v>5897232</v>
      </c>
      <c r="AY235">
        <v>117944640</v>
      </c>
      <c r="AZ235">
        <v>71481600</v>
      </c>
      <c r="BD235">
        <v>6.97</v>
      </c>
    </row>
    <row r="236" spans="1:56">
      <c r="A236" t="s">
        <v>606</v>
      </c>
      <c r="B236" t="s">
        <v>399</v>
      </c>
      <c r="C236">
        <v>2006</v>
      </c>
      <c r="E236">
        <v>2006</v>
      </c>
      <c r="H236">
        <v>3000</v>
      </c>
      <c r="I236">
        <v>1</v>
      </c>
      <c r="L236" t="s">
        <v>24</v>
      </c>
      <c r="Q236">
        <v>1336285</v>
      </c>
      <c r="S236">
        <v>0.45</v>
      </c>
      <c r="U236">
        <v>20</v>
      </c>
      <c r="AF236">
        <v>0.54159999999999997</v>
      </c>
      <c r="AG236">
        <v>3000</v>
      </c>
      <c r="AK236" t="s">
        <v>598</v>
      </c>
      <c r="AL236" t="s">
        <v>597</v>
      </c>
      <c r="AM236">
        <v>71.980400000000003</v>
      </c>
      <c r="AW236">
        <v>14233248</v>
      </c>
      <c r="AY236">
        <v>284664960</v>
      </c>
      <c r="AZ236">
        <v>94888320</v>
      </c>
      <c r="BD236">
        <v>4.6900000000000004</v>
      </c>
    </row>
    <row r="237" spans="1:56">
      <c r="A237" t="s">
        <v>606</v>
      </c>
      <c r="B237" t="s">
        <v>399</v>
      </c>
      <c r="C237">
        <v>2006</v>
      </c>
      <c r="E237">
        <v>2006</v>
      </c>
      <c r="H237">
        <v>3000</v>
      </c>
      <c r="I237">
        <v>1</v>
      </c>
      <c r="L237" t="s">
        <v>31</v>
      </c>
      <c r="Q237">
        <v>1503473</v>
      </c>
      <c r="S237">
        <v>0.5</v>
      </c>
      <c r="U237">
        <v>20</v>
      </c>
      <c r="AF237">
        <v>0.54159999999999997</v>
      </c>
      <c r="AG237">
        <v>3000</v>
      </c>
      <c r="AK237" t="s">
        <v>598</v>
      </c>
      <c r="AL237" t="s">
        <v>597</v>
      </c>
      <c r="AM237">
        <v>71.980400000000003</v>
      </c>
      <c r="AW237">
        <v>14233248</v>
      </c>
      <c r="AY237">
        <v>284664960</v>
      </c>
      <c r="AZ237">
        <v>94888320</v>
      </c>
      <c r="BD237">
        <v>5.28</v>
      </c>
    </row>
    <row r="238" spans="1:56">
      <c r="A238" t="s">
        <v>600</v>
      </c>
      <c r="B238" t="s">
        <v>444</v>
      </c>
      <c r="C238">
        <v>2006</v>
      </c>
      <c r="E238">
        <v>2006</v>
      </c>
      <c r="H238">
        <v>342.5</v>
      </c>
      <c r="I238">
        <v>1</v>
      </c>
      <c r="L238" t="s">
        <v>24</v>
      </c>
      <c r="Q238">
        <v>268827</v>
      </c>
      <c r="S238">
        <v>0.78</v>
      </c>
      <c r="U238">
        <v>25</v>
      </c>
      <c r="AF238">
        <v>0.25600000000000001</v>
      </c>
      <c r="AG238">
        <v>342.5</v>
      </c>
      <c r="AK238" t="s">
        <v>598</v>
      </c>
      <c r="AL238" t="s">
        <v>597</v>
      </c>
      <c r="AM238">
        <v>71.980400000000003</v>
      </c>
      <c r="AW238">
        <v>768076.80000000005</v>
      </c>
      <c r="AY238">
        <v>19201920</v>
      </c>
      <c r="AZ238">
        <v>56064000</v>
      </c>
      <c r="BD238">
        <v>14</v>
      </c>
    </row>
    <row r="239" spans="1:56">
      <c r="A239" t="s">
        <v>600</v>
      </c>
      <c r="B239" t="s">
        <v>444</v>
      </c>
      <c r="C239">
        <v>2006</v>
      </c>
      <c r="E239">
        <v>2006</v>
      </c>
      <c r="H239">
        <v>750</v>
      </c>
      <c r="I239">
        <v>1</v>
      </c>
      <c r="L239" t="s">
        <v>24</v>
      </c>
      <c r="Q239">
        <v>1014671</v>
      </c>
      <c r="S239">
        <v>1.35</v>
      </c>
      <c r="U239">
        <v>30</v>
      </c>
      <c r="AF239">
        <v>0.28599999999999998</v>
      </c>
      <c r="AG239">
        <v>750</v>
      </c>
      <c r="AK239" t="s">
        <v>598</v>
      </c>
      <c r="AL239" t="s">
        <v>597</v>
      </c>
      <c r="AM239">
        <v>71.980400000000003</v>
      </c>
      <c r="AW239">
        <v>1879020</v>
      </c>
      <c r="AY239">
        <v>56370600</v>
      </c>
      <c r="AZ239">
        <v>75160800</v>
      </c>
      <c r="BD239">
        <v>18</v>
      </c>
    </row>
    <row r="240" spans="1:56">
      <c r="A240" t="s">
        <v>600</v>
      </c>
      <c r="B240" t="s">
        <v>444</v>
      </c>
      <c r="C240">
        <v>2006</v>
      </c>
      <c r="E240">
        <v>2006</v>
      </c>
      <c r="H240">
        <v>600</v>
      </c>
      <c r="I240">
        <v>1</v>
      </c>
      <c r="L240" t="s">
        <v>24</v>
      </c>
      <c r="Q240">
        <v>711242</v>
      </c>
      <c r="S240">
        <v>1.19</v>
      </c>
      <c r="U240">
        <v>20</v>
      </c>
      <c r="AF240">
        <v>0.19900000000000001</v>
      </c>
      <c r="AG240">
        <v>600</v>
      </c>
      <c r="AK240" t="s">
        <v>598</v>
      </c>
      <c r="AL240" t="s">
        <v>597</v>
      </c>
      <c r="AM240">
        <v>71.980400000000003</v>
      </c>
      <c r="AW240">
        <v>1045944</v>
      </c>
      <c r="AY240">
        <v>20918880</v>
      </c>
      <c r="AZ240">
        <v>34864800</v>
      </c>
      <c r="BD240">
        <v>34</v>
      </c>
    </row>
    <row r="241" spans="1:57">
      <c r="A241" t="s">
        <v>705</v>
      </c>
      <c r="B241" t="s">
        <v>399</v>
      </c>
      <c r="C241">
        <v>2007</v>
      </c>
      <c r="E241">
        <v>2007</v>
      </c>
      <c r="F241" t="s">
        <v>27</v>
      </c>
      <c r="G241" t="s">
        <v>205</v>
      </c>
      <c r="H241">
        <v>3000</v>
      </c>
      <c r="I241">
        <v>100</v>
      </c>
      <c r="L241" t="s">
        <v>24</v>
      </c>
      <c r="M241">
        <v>105</v>
      </c>
      <c r="N241">
        <v>516.09</v>
      </c>
      <c r="P241">
        <v>143.36000000000001</v>
      </c>
      <c r="U241">
        <v>20</v>
      </c>
      <c r="X241">
        <v>0.37</v>
      </c>
      <c r="AC241">
        <v>54.51</v>
      </c>
      <c r="AF241">
        <v>0.30020000000000002</v>
      </c>
      <c r="AG241">
        <v>300000</v>
      </c>
      <c r="AH241">
        <v>154828129496</v>
      </c>
      <c r="AJ241">
        <v>0.27800000000000002</v>
      </c>
      <c r="AK241" t="s">
        <v>694</v>
      </c>
      <c r="AL241" t="s">
        <v>597</v>
      </c>
      <c r="AM241">
        <v>91.070114500000003</v>
      </c>
      <c r="AO241" t="s">
        <v>340</v>
      </c>
      <c r="AS241">
        <v>430422200</v>
      </c>
      <c r="AU241">
        <v>1.43</v>
      </c>
      <c r="AW241">
        <v>788925600</v>
      </c>
      <c r="AY241">
        <v>15778512000</v>
      </c>
      <c r="AZ241">
        <v>52595040</v>
      </c>
      <c r="BB241">
        <v>2.73</v>
      </c>
    </row>
    <row r="242" spans="1:57">
      <c r="A242" t="s">
        <v>638</v>
      </c>
      <c r="B242" t="s">
        <v>418</v>
      </c>
      <c r="C242">
        <v>2007</v>
      </c>
      <c r="E242">
        <v>2007</v>
      </c>
      <c r="H242">
        <v>1800</v>
      </c>
      <c r="I242">
        <v>1</v>
      </c>
      <c r="L242" t="s">
        <v>31</v>
      </c>
      <c r="Q242">
        <v>2270592</v>
      </c>
      <c r="S242">
        <v>1.26</v>
      </c>
      <c r="U242">
        <v>20</v>
      </c>
      <c r="AF242">
        <v>0.3</v>
      </c>
      <c r="AG242">
        <v>1800</v>
      </c>
      <c r="AK242" t="s">
        <v>598</v>
      </c>
      <c r="AL242" t="s">
        <v>597</v>
      </c>
      <c r="AM242">
        <v>91.070114500000003</v>
      </c>
      <c r="AW242">
        <v>4730400</v>
      </c>
      <c r="AY242">
        <v>94608000</v>
      </c>
      <c r="AZ242">
        <v>52560000</v>
      </c>
      <c r="BD242">
        <v>24</v>
      </c>
    </row>
    <row r="243" spans="1:57">
      <c r="A243" t="s">
        <v>636</v>
      </c>
      <c r="B243" t="s">
        <v>419</v>
      </c>
      <c r="C243">
        <v>2007</v>
      </c>
      <c r="E243">
        <v>2007</v>
      </c>
      <c r="H243">
        <v>800</v>
      </c>
      <c r="I243">
        <v>1</v>
      </c>
      <c r="L243" t="s">
        <v>24</v>
      </c>
      <c r="Q243">
        <v>401979</v>
      </c>
      <c r="S243">
        <v>0.5</v>
      </c>
      <c r="U243">
        <v>30</v>
      </c>
      <c r="AF243">
        <v>0.2</v>
      </c>
      <c r="AG243">
        <v>800</v>
      </c>
      <c r="AK243" t="s">
        <v>598</v>
      </c>
      <c r="AL243" t="s">
        <v>597</v>
      </c>
      <c r="AM243">
        <v>91.070114500000003</v>
      </c>
      <c r="AW243">
        <v>1401600</v>
      </c>
      <c r="AY243">
        <v>42048000</v>
      </c>
      <c r="AZ243">
        <v>52560000</v>
      </c>
      <c r="BD243">
        <v>9.56</v>
      </c>
    </row>
    <row r="244" spans="1:57">
      <c r="A244" t="s">
        <v>636</v>
      </c>
      <c r="B244" t="s">
        <v>419</v>
      </c>
      <c r="C244">
        <v>2007</v>
      </c>
      <c r="E244">
        <v>2007</v>
      </c>
      <c r="H244">
        <v>2000</v>
      </c>
      <c r="I244">
        <v>1</v>
      </c>
      <c r="L244" t="s">
        <v>31</v>
      </c>
      <c r="Q244">
        <v>1292976</v>
      </c>
      <c r="S244">
        <v>0.65</v>
      </c>
      <c r="U244">
        <v>20</v>
      </c>
      <c r="AF244">
        <v>0.3</v>
      </c>
      <c r="AG244">
        <v>2000</v>
      </c>
      <c r="AK244" t="s">
        <v>598</v>
      </c>
      <c r="AL244" t="s">
        <v>597</v>
      </c>
      <c r="AM244">
        <v>91.070114500000003</v>
      </c>
      <c r="AW244">
        <v>5256000</v>
      </c>
      <c r="AY244">
        <v>105120000</v>
      </c>
      <c r="AZ244">
        <v>52560000</v>
      </c>
      <c r="BD244">
        <v>12.3</v>
      </c>
    </row>
    <row r="245" spans="1:57">
      <c r="A245" t="s">
        <v>636</v>
      </c>
      <c r="B245" t="s">
        <v>419</v>
      </c>
      <c r="C245">
        <v>2007</v>
      </c>
      <c r="E245">
        <v>2007</v>
      </c>
      <c r="H245">
        <v>800</v>
      </c>
      <c r="I245">
        <v>1</v>
      </c>
      <c r="L245" t="s">
        <v>24</v>
      </c>
      <c r="Q245">
        <v>400297</v>
      </c>
      <c r="S245">
        <v>0.5</v>
      </c>
      <c r="U245">
        <v>30</v>
      </c>
      <c r="AF245">
        <v>0.14000000000000001</v>
      </c>
      <c r="AG245">
        <v>800</v>
      </c>
      <c r="AK245" t="s">
        <v>598</v>
      </c>
      <c r="AL245" t="s">
        <v>597</v>
      </c>
      <c r="AM245">
        <v>91.070114500000003</v>
      </c>
      <c r="AW245">
        <v>981120</v>
      </c>
      <c r="AY245">
        <v>29433600</v>
      </c>
      <c r="AZ245">
        <v>36792000</v>
      </c>
      <c r="BD245">
        <v>13.6</v>
      </c>
    </row>
    <row r="246" spans="1:57">
      <c r="A246" t="s">
        <v>707</v>
      </c>
      <c r="B246" t="s">
        <v>396</v>
      </c>
      <c r="C246">
        <v>2008</v>
      </c>
      <c r="E246">
        <v>2008</v>
      </c>
      <c r="G246" t="s">
        <v>245</v>
      </c>
      <c r="H246">
        <v>1750</v>
      </c>
      <c r="I246">
        <v>2</v>
      </c>
      <c r="M246">
        <v>60</v>
      </c>
      <c r="N246">
        <v>2.46</v>
      </c>
      <c r="P246">
        <v>0.68</v>
      </c>
      <c r="U246">
        <v>20</v>
      </c>
      <c r="X246">
        <v>109.25</v>
      </c>
      <c r="AC246">
        <v>0.18</v>
      </c>
      <c r="AE246">
        <v>60</v>
      </c>
      <c r="AF246">
        <v>0.42599999999999999</v>
      </c>
      <c r="AG246">
        <v>3500</v>
      </c>
      <c r="AH246">
        <v>8608000</v>
      </c>
      <c r="AK246" t="s">
        <v>694</v>
      </c>
      <c r="AL246" t="s">
        <v>597</v>
      </c>
      <c r="AM246">
        <v>116.9072445</v>
      </c>
      <c r="AO246" t="s">
        <v>340</v>
      </c>
      <c r="AW246">
        <v>13061160</v>
      </c>
      <c r="AY246">
        <v>261223200</v>
      </c>
      <c r="AZ246">
        <v>74635200</v>
      </c>
      <c r="BB246">
        <v>0.01</v>
      </c>
    </row>
    <row r="247" spans="1:57">
      <c r="A247" t="s">
        <v>707</v>
      </c>
      <c r="B247" t="s">
        <v>396</v>
      </c>
      <c r="C247">
        <v>2008</v>
      </c>
      <c r="E247">
        <v>2008</v>
      </c>
      <c r="G247" t="s">
        <v>245</v>
      </c>
      <c r="H247">
        <v>660</v>
      </c>
      <c r="I247">
        <v>4</v>
      </c>
      <c r="M247">
        <v>45</v>
      </c>
      <c r="N247">
        <v>2.94</v>
      </c>
      <c r="P247">
        <v>0.82</v>
      </c>
      <c r="U247">
        <v>20</v>
      </c>
      <c r="X247">
        <v>40.549999999999997</v>
      </c>
      <c r="AC247">
        <v>0.49</v>
      </c>
      <c r="AE247">
        <v>47</v>
      </c>
      <c r="AF247">
        <v>0.189</v>
      </c>
      <c r="AG247">
        <v>2640</v>
      </c>
      <c r="AH247">
        <v>7760000</v>
      </c>
      <c r="AK247" t="s">
        <v>694</v>
      </c>
      <c r="AL247" t="s">
        <v>597</v>
      </c>
      <c r="AM247">
        <v>116.9072445</v>
      </c>
      <c r="AO247" t="s">
        <v>340</v>
      </c>
      <c r="AW247">
        <v>4370889.5999999996</v>
      </c>
      <c r="AY247">
        <v>87417792</v>
      </c>
      <c r="AZ247">
        <v>33112800</v>
      </c>
      <c r="BB247">
        <v>0.02</v>
      </c>
    </row>
    <row r="248" spans="1:57">
      <c r="A248" t="s">
        <v>707</v>
      </c>
      <c r="B248" t="s">
        <v>396</v>
      </c>
      <c r="C248">
        <v>2008</v>
      </c>
      <c r="E248">
        <v>2008</v>
      </c>
      <c r="G248" t="s">
        <v>245</v>
      </c>
      <c r="H248">
        <v>600</v>
      </c>
      <c r="I248">
        <v>4</v>
      </c>
      <c r="M248">
        <v>46</v>
      </c>
      <c r="N248">
        <v>2.99</v>
      </c>
      <c r="P248">
        <v>0.83</v>
      </c>
      <c r="U248">
        <v>20</v>
      </c>
      <c r="X248">
        <v>65.16</v>
      </c>
      <c r="AC248">
        <v>0.31</v>
      </c>
      <c r="AE248">
        <v>43.7</v>
      </c>
      <c r="AF248">
        <v>0.309</v>
      </c>
      <c r="AG248">
        <v>2400</v>
      </c>
      <c r="AH248">
        <v>7178000</v>
      </c>
      <c r="AK248" t="s">
        <v>694</v>
      </c>
      <c r="AL248" t="s">
        <v>597</v>
      </c>
      <c r="AM248">
        <v>116.9072445</v>
      </c>
      <c r="AO248" t="s">
        <v>340</v>
      </c>
      <c r="AW248">
        <v>6496416</v>
      </c>
      <c r="AY248">
        <v>129928320</v>
      </c>
      <c r="AZ248">
        <v>54136800</v>
      </c>
      <c r="BB248">
        <v>0.02</v>
      </c>
    </row>
    <row r="249" spans="1:57">
      <c r="A249" t="s">
        <v>565</v>
      </c>
      <c r="B249" t="s">
        <v>400</v>
      </c>
      <c r="C249">
        <v>2008</v>
      </c>
      <c r="E249">
        <v>2008</v>
      </c>
      <c r="G249" t="s">
        <v>73</v>
      </c>
      <c r="H249">
        <v>660</v>
      </c>
      <c r="I249">
        <v>11</v>
      </c>
      <c r="L249" t="s">
        <v>24</v>
      </c>
      <c r="M249">
        <v>55</v>
      </c>
      <c r="N249">
        <v>6.39</v>
      </c>
      <c r="P249">
        <v>1.78</v>
      </c>
      <c r="U249">
        <v>20</v>
      </c>
      <c r="X249">
        <v>18.18</v>
      </c>
      <c r="AC249">
        <v>1.1000000000000001</v>
      </c>
      <c r="AE249">
        <v>50</v>
      </c>
      <c r="AF249">
        <v>0.19</v>
      </c>
      <c r="AG249">
        <v>7260</v>
      </c>
      <c r="AH249">
        <v>46400000</v>
      </c>
      <c r="AJ249">
        <v>0.3498</v>
      </c>
      <c r="AK249" t="s">
        <v>694</v>
      </c>
      <c r="AL249" t="s">
        <v>597</v>
      </c>
      <c r="AM249">
        <v>116.9072445</v>
      </c>
      <c r="AO249" t="s">
        <v>340</v>
      </c>
      <c r="AP249">
        <v>4300000</v>
      </c>
      <c r="AS249">
        <v>16230720</v>
      </c>
      <c r="AT249">
        <v>15000</v>
      </c>
      <c r="AU249">
        <v>2.2400000000000002</v>
      </c>
      <c r="AV249">
        <v>2E-3</v>
      </c>
      <c r="AW249">
        <v>12083544</v>
      </c>
      <c r="AY249">
        <v>242120000</v>
      </c>
      <c r="AZ249">
        <v>33349862.258953199</v>
      </c>
      <c r="BB249">
        <v>0.06</v>
      </c>
      <c r="BC249">
        <v>0.02</v>
      </c>
      <c r="BD249">
        <v>13.65</v>
      </c>
      <c r="BE249">
        <v>4.8499999999999996</v>
      </c>
    </row>
    <row r="250" spans="1:57">
      <c r="A250" t="s">
        <v>565</v>
      </c>
      <c r="B250" t="s">
        <v>400</v>
      </c>
      <c r="C250">
        <v>2008</v>
      </c>
      <c r="E250">
        <v>2008</v>
      </c>
      <c r="H250">
        <v>660</v>
      </c>
      <c r="I250">
        <v>1</v>
      </c>
      <c r="J250" t="s">
        <v>545</v>
      </c>
      <c r="L250" t="s">
        <v>24</v>
      </c>
      <c r="Q250">
        <v>177958</v>
      </c>
      <c r="S250">
        <v>0.27</v>
      </c>
      <c r="U250">
        <v>20</v>
      </c>
      <c r="AE250">
        <v>50</v>
      </c>
      <c r="AF250">
        <v>0.19</v>
      </c>
      <c r="AG250">
        <v>660</v>
      </c>
      <c r="AK250" t="s">
        <v>643</v>
      </c>
      <c r="AL250" t="s">
        <v>597</v>
      </c>
      <c r="AM250">
        <v>116.9072445</v>
      </c>
      <c r="AW250">
        <v>1098504</v>
      </c>
      <c r="AY250">
        <v>21970080</v>
      </c>
      <c r="AZ250">
        <v>33288000</v>
      </c>
      <c r="BD250">
        <v>8.1</v>
      </c>
    </row>
    <row r="251" spans="1:57">
      <c r="A251" t="s">
        <v>565</v>
      </c>
      <c r="B251" t="s">
        <v>400</v>
      </c>
      <c r="C251">
        <v>2008</v>
      </c>
      <c r="E251">
        <v>2008</v>
      </c>
      <c r="H251">
        <v>660</v>
      </c>
      <c r="I251">
        <v>1</v>
      </c>
      <c r="L251" t="s">
        <v>24</v>
      </c>
      <c r="Q251">
        <v>325157</v>
      </c>
      <c r="S251">
        <v>0.49</v>
      </c>
      <c r="U251">
        <v>20</v>
      </c>
      <c r="AF251">
        <v>0.19</v>
      </c>
      <c r="AG251">
        <v>660</v>
      </c>
      <c r="AK251" t="s">
        <v>598</v>
      </c>
      <c r="AL251" t="s">
        <v>597</v>
      </c>
      <c r="AM251">
        <v>116.9072445</v>
      </c>
      <c r="AW251">
        <v>1098504</v>
      </c>
      <c r="AY251">
        <v>21970080</v>
      </c>
      <c r="AZ251">
        <v>33288000</v>
      </c>
      <c r="BD251">
        <v>14.8</v>
      </c>
    </row>
    <row r="252" spans="1:57">
      <c r="A252" t="s">
        <v>635</v>
      </c>
      <c r="B252" t="s">
        <v>420</v>
      </c>
      <c r="C252">
        <v>2008</v>
      </c>
      <c r="E252">
        <v>2008</v>
      </c>
      <c r="H252">
        <v>2000</v>
      </c>
      <c r="I252">
        <v>1</v>
      </c>
      <c r="L252" t="s">
        <v>31</v>
      </c>
      <c r="Q252">
        <v>1299546</v>
      </c>
      <c r="S252">
        <v>0.65</v>
      </c>
      <c r="U252">
        <v>20</v>
      </c>
      <c r="AF252">
        <v>0.46</v>
      </c>
      <c r="AG252">
        <v>2000</v>
      </c>
      <c r="AK252" t="s">
        <v>598</v>
      </c>
      <c r="AL252" t="s">
        <v>597</v>
      </c>
      <c r="AM252">
        <v>116.9072445</v>
      </c>
      <c r="AW252">
        <v>8059200</v>
      </c>
      <c r="AY252">
        <v>161184000</v>
      </c>
      <c r="AZ252">
        <v>80592000</v>
      </c>
      <c r="BD252">
        <v>8.06</v>
      </c>
    </row>
    <row r="253" spans="1:57">
      <c r="A253" t="s">
        <v>626</v>
      </c>
      <c r="B253" t="s">
        <v>449</v>
      </c>
      <c r="C253">
        <v>2008</v>
      </c>
      <c r="E253">
        <v>2008</v>
      </c>
      <c r="H253">
        <v>854</v>
      </c>
      <c r="I253">
        <v>1</v>
      </c>
      <c r="L253" t="s">
        <v>24</v>
      </c>
      <c r="Q253">
        <v>178719</v>
      </c>
      <c r="S253">
        <v>0.21</v>
      </c>
      <c r="U253">
        <v>20</v>
      </c>
      <c r="AF253">
        <v>0.33179999999999998</v>
      </c>
      <c r="AG253">
        <v>854</v>
      </c>
      <c r="AK253" t="s">
        <v>598</v>
      </c>
      <c r="AL253" t="s">
        <v>597</v>
      </c>
      <c r="AM253">
        <v>116.9072445</v>
      </c>
      <c r="AW253">
        <v>2482209.0720000002</v>
      </c>
      <c r="AY253">
        <v>49644181.439999998</v>
      </c>
      <c r="AZ253">
        <v>58131360</v>
      </c>
      <c r="BD253">
        <v>3.6</v>
      </c>
    </row>
    <row r="254" spans="1:57">
      <c r="A254" t="s">
        <v>619</v>
      </c>
      <c r="B254" t="s">
        <v>434</v>
      </c>
      <c r="C254">
        <v>2008</v>
      </c>
      <c r="E254">
        <v>2008</v>
      </c>
      <c r="H254">
        <v>5000</v>
      </c>
      <c r="I254">
        <v>1</v>
      </c>
      <c r="L254" t="s">
        <v>31</v>
      </c>
      <c r="AG254">
        <v>5000</v>
      </c>
      <c r="AK254" t="s">
        <v>598</v>
      </c>
      <c r="AL254" t="s">
        <v>597</v>
      </c>
      <c r="AM254">
        <v>116.9072445</v>
      </c>
      <c r="BD254">
        <v>22</v>
      </c>
    </row>
    <row r="255" spans="1:57">
      <c r="A255" s="237" t="s">
        <v>757</v>
      </c>
      <c r="B255" s="237" t="s">
        <v>128</v>
      </c>
      <c r="C255" s="237">
        <v>2009</v>
      </c>
      <c r="D255" s="237"/>
      <c r="E255" s="237">
        <v>2009</v>
      </c>
      <c r="F255" s="237" t="s">
        <v>27</v>
      </c>
      <c r="G255" s="237" t="s">
        <v>119</v>
      </c>
      <c r="H255" s="237">
        <v>0.4</v>
      </c>
      <c r="I255" s="237">
        <v>5</v>
      </c>
      <c r="J255" s="237" t="s">
        <v>468</v>
      </c>
      <c r="K255" s="237" t="s">
        <v>469</v>
      </c>
      <c r="L255" s="237" t="s">
        <v>24</v>
      </c>
      <c r="M255" s="237">
        <v>30</v>
      </c>
      <c r="N255" s="237">
        <v>101.64</v>
      </c>
      <c r="O255" s="237"/>
      <c r="P255" s="237">
        <v>28.23</v>
      </c>
      <c r="Q255" s="237"/>
      <c r="R255" s="237"/>
      <c r="S255" s="237"/>
      <c r="T255" s="237"/>
      <c r="U255" s="237">
        <v>20</v>
      </c>
      <c r="V255" s="237"/>
      <c r="W255" s="237"/>
      <c r="X255" s="237"/>
      <c r="Y255" s="237"/>
      <c r="Z255" s="237"/>
      <c r="AA255" s="237"/>
      <c r="AB255" s="237"/>
      <c r="AC255" s="237">
        <v>19.98</v>
      </c>
      <c r="AD255" s="237" t="s">
        <v>467</v>
      </c>
      <c r="AE255" s="237">
        <v>1.17</v>
      </c>
      <c r="AF255" s="237">
        <v>0.161304224</v>
      </c>
      <c r="AG255" s="237">
        <v>2</v>
      </c>
      <c r="AH255" s="237">
        <v>203281</v>
      </c>
      <c r="AI255" s="237"/>
      <c r="AJ255" s="237"/>
      <c r="AK255" s="237" t="s">
        <v>769</v>
      </c>
      <c r="AL255" s="237" t="s">
        <v>597</v>
      </c>
      <c r="AM255" s="237">
        <v>151.3704745</v>
      </c>
      <c r="AN255" s="237"/>
      <c r="AO255" s="237" t="s">
        <v>356</v>
      </c>
      <c r="AP255" s="237"/>
      <c r="AQ255" s="237">
        <v>56467</v>
      </c>
      <c r="AR255" s="237"/>
      <c r="AS255" s="237"/>
      <c r="AT255" s="237"/>
      <c r="AU255" s="237"/>
      <c r="AV255" s="237"/>
      <c r="AW255" s="237">
        <v>2826.05</v>
      </c>
      <c r="AX255" s="237"/>
      <c r="AY255" s="237">
        <v>56521</v>
      </c>
      <c r="AZ255" s="237">
        <v>28260500</v>
      </c>
      <c r="BA255" s="237"/>
      <c r="BB255" s="237">
        <v>0.999</v>
      </c>
      <c r="BC255" s="237"/>
      <c r="BD255" s="237"/>
      <c r="BE255" s="237"/>
    </row>
    <row r="256" spans="1:57">
      <c r="A256" s="238" t="s">
        <v>780</v>
      </c>
      <c r="B256" s="238" t="s">
        <v>431</v>
      </c>
      <c r="C256" s="238">
        <v>2009</v>
      </c>
      <c r="D256" s="238"/>
      <c r="E256" s="238">
        <v>2009</v>
      </c>
      <c r="F256" s="238" t="s">
        <v>27</v>
      </c>
      <c r="G256" s="238" t="s">
        <v>158</v>
      </c>
      <c r="H256" s="238">
        <v>1.5</v>
      </c>
      <c r="I256" s="238">
        <v>1</v>
      </c>
      <c r="J256" s="238" t="s">
        <v>519</v>
      </c>
      <c r="K256" s="238"/>
      <c r="L256" s="238" t="s">
        <v>24</v>
      </c>
      <c r="M256" s="238"/>
      <c r="N256" s="238">
        <v>13.81</v>
      </c>
      <c r="O256" s="238"/>
      <c r="P256" s="238">
        <v>3.84</v>
      </c>
      <c r="Q256" s="238"/>
      <c r="R256" s="238"/>
      <c r="S256" s="238"/>
      <c r="T256" s="238"/>
      <c r="U256" s="238">
        <v>20</v>
      </c>
      <c r="V256" s="238"/>
      <c r="W256" s="238"/>
      <c r="X256" s="238"/>
      <c r="Y256" s="238"/>
      <c r="Z256" s="238"/>
      <c r="AA256" s="238"/>
      <c r="AB256" s="238"/>
      <c r="AC256" s="238">
        <v>10.94</v>
      </c>
      <c r="AD256" s="238" t="s">
        <v>33</v>
      </c>
      <c r="AE256" s="238">
        <v>2</v>
      </c>
      <c r="AF256" s="238">
        <v>4.0030441E-2</v>
      </c>
      <c r="AG256" s="238">
        <v>1.5</v>
      </c>
      <c r="AH256" s="238">
        <v>20709</v>
      </c>
      <c r="AI256" s="238"/>
      <c r="AJ256" s="238"/>
      <c r="AK256" s="238" t="s">
        <v>769</v>
      </c>
      <c r="AL256" s="238" t="s">
        <v>597</v>
      </c>
      <c r="AM256" s="238">
        <v>151.3704745</v>
      </c>
      <c r="AN256" s="238"/>
      <c r="AO256" s="238" t="s">
        <v>356</v>
      </c>
      <c r="AP256" s="238"/>
      <c r="AQ256" s="238">
        <v>5753</v>
      </c>
      <c r="AR256" s="238"/>
      <c r="AS256" s="238"/>
      <c r="AT256" s="238"/>
      <c r="AU256" s="238"/>
      <c r="AV256" s="238"/>
      <c r="AW256" s="238">
        <v>526</v>
      </c>
      <c r="AX256" s="238"/>
      <c r="AY256" s="238">
        <v>10520</v>
      </c>
      <c r="AZ256" s="238">
        <v>7013333.3333333302</v>
      </c>
      <c r="BA256" s="238"/>
      <c r="BB256" s="238">
        <v>0.54700000000000004</v>
      </c>
      <c r="BC256" s="238"/>
      <c r="BD256" s="238"/>
      <c r="BE256" s="238"/>
    </row>
    <row r="257" spans="1:57">
      <c r="A257" s="237" t="s">
        <v>780</v>
      </c>
      <c r="B257" s="237" t="s">
        <v>431</v>
      </c>
      <c r="C257" s="237">
        <v>2009</v>
      </c>
      <c r="D257" s="237"/>
      <c r="E257" s="237">
        <v>2009</v>
      </c>
      <c r="F257" s="237" t="s">
        <v>27</v>
      </c>
      <c r="G257" s="237" t="s">
        <v>158</v>
      </c>
      <c r="H257" s="237">
        <v>1.5</v>
      </c>
      <c r="I257" s="237">
        <v>1</v>
      </c>
      <c r="J257" s="237" t="s">
        <v>519</v>
      </c>
      <c r="K257" s="237"/>
      <c r="L257" s="237" t="s">
        <v>24</v>
      </c>
      <c r="M257" s="237"/>
      <c r="N257" s="237">
        <v>13.81</v>
      </c>
      <c r="O257" s="237"/>
      <c r="P257" s="237">
        <v>3.84</v>
      </c>
      <c r="Q257" s="237"/>
      <c r="R257" s="237"/>
      <c r="S257" s="237"/>
      <c r="T257" s="237"/>
      <c r="U257" s="237">
        <v>20</v>
      </c>
      <c r="V257" s="237"/>
      <c r="W257" s="237"/>
      <c r="X257" s="237"/>
      <c r="Y257" s="237"/>
      <c r="Z257" s="237"/>
      <c r="AA257" s="237"/>
      <c r="AB257" s="237"/>
      <c r="AC257" s="237">
        <v>6.84</v>
      </c>
      <c r="AD257" s="237" t="s">
        <v>33</v>
      </c>
      <c r="AE257" s="237">
        <v>2</v>
      </c>
      <c r="AF257" s="237">
        <v>6.4003043999999995E-2</v>
      </c>
      <c r="AG257" s="237">
        <v>1.5</v>
      </c>
      <c r="AH257" s="237">
        <v>20709</v>
      </c>
      <c r="AI257" s="237"/>
      <c r="AJ257" s="237"/>
      <c r="AK257" s="237" t="s">
        <v>769</v>
      </c>
      <c r="AL257" s="237" t="s">
        <v>597</v>
      </c>
      <c r="AM257" s="237">
        <v>151.3704745</v>
      </c>
      <c r="AN257" s="237"/>
      <c r="AO257" s="237" t="s">
        <v>356</v>
      </c>
      <c r="AP257" s="237"/>
      <c r="AQ257" s="237">
        <v>5753</v>
      </c>
      <c r="AR257" s="237"/>
      <c r="AS257" s="237"/>
      <c r="AT257" s="237"/>
      <c r="AU257" s="237"/>
      <c r="AV257" s="237"/>
      <c r="AW257" s="237">
        <v>841</v>
      </c>
      <c r="AX257" s="237"/>
      <c r="AY257" s="237">
        <v>16820</v>
      </c>
      <c r="AZ257" s="237">
        <v>11213333.3333333</v>
      </c>
      <c r="BA257" s="237"/>
      <c r="BB257" s="237">
        <v>0.34200000000000003</v>
      </c>
      <c r="BC257" s="237"/>
      <c r="BD257" s="237"/>
      <c r="BE257" s="237"/>
    </row>
    <row r="258" spans="1:57">
      <c r="A258" t="s">
        <v>757</v>
      </c>
      <c r="B258" t="s">
        <v>128</v>
      </c>
      <c r="C258">
        <v>2009</v>
      </c>
      <c r="E258">
        <v>2009</v>
      </c>
      <c r="F258" t="s">
        <v>27</v>
      </c>
      <c r="H258">
        <v>0.4</v>
      </c>
      <c r="I258">
        <v>5</v>
      </c>
      <c r="J258" t="s">
        <v>129</v>
      </c>
      <c r="L258" t="s">
        <v>24</v>
      </c>
      <c r="M258">
        <v>30</v>
      </c>
      <c r="Q258">
        <v>9078</v>
      </c>
      <c r="S258">
        <v>4.54</v>
      </c>
      <c r="U258">
        <v>20</v>
      </c>
      <c r="AB258" t="s">
        <v>130</v>
      </c>
      <c r="AD258" t="s">
        <v>33</v>
      </c>
      <c r="AE258">
        <v>1.17</v>
      </c>
      <c r="AF258">
        <v>0.161304224</v>
      </c>
      <c r="AG258">
        <v>2</v>
      </c>
      <c r="AK258" t="s">
        <v>709</v>
      </c>
      <c r="AL258" t="s">
        <v>597</v>
      </c>
      <c r="AM258">
        <v>151.3704745</v>
      </c>
      <c r="AS258">
        <v>56467</v>
      </c>
      <c r="AU258">
        <v>1</v>
      </c>
      <c r="AW258">
        <v>2826.05</v>
      </c>
      <c r="AY258">
        <v>56521</v>
      </c>
      <c r="AZ258">
        <v>28260500</v>
      </c>
      <c r="BD258">
        <v>160.61000000000001</v>
      </c>
    </row>
    <row r="259" spans="1:57">
      <c r="A259" t="s">
        <v>757</v>
      </c>
      <c r="B259" t="s">
        <v>128</v>
      </c>
      <c r="C259">
        <v>2009</v>
      </c>
      <c r="E259">
        <v>2009</v>
      </c>
      <c r="F259" t="s">
        <v>27</v>
      </c>
      <c r="H259">
        <v>0.4</v>
      </c>
      <c r="I259">
        <v>5</v>
      </c>
      <c r="J259" t="s">
        <v>129</v>
      </c>
      <c r="L259" t="s">
        <v>24</v>
      </c>
      <c r="M259">
        <v>30</v>
      </c>
      <c r="Q259">
        <v>6325</v>
      </c>
      <c r="S259">
        <v>3.16</v>
      </c>
      <c r="U259">
        <v>20</v>
      </c>
      <c r="AB259" t="s">
        <v>131</v>
      </c>
      <c r="AD259" t="s">
        <v>33</v>
      </c>
      <c r="AE259">
        <v>1.17</v>
      </c>
      <c r="AF259">
        <v>0.161304224</v>
      </c>
      <c r="AG259">
        <v>2</v>
      </c>
      <c r="AK259" t="s">
        <v>709</v>
      </c>
      <c r="AL259" t="s">
        <v>597</v>
      </c>
      <c r="AM259">
        <v>151.3704745</v>
      </c>
      <c r="AS259">
        <v>22816</v>
      </c>
      <c r="AU259">
        <v>0.4</v>
      </c>
      <c r="AW259">
        <v>2826.05</v>
      </c>
      <c r="AY259">
        <v>56521</v>
      </c>
      <c r="AZ259">
        <v>28260500</v>
      </c>
      <c r="BD259">
        <v>111.91</v>
      </c>
    </row>
    <row r="260" spans="1:57">
      <c r="A260" t="s">
        <v>706</v>
      </c>
      <c r="B260" t="s">
        <v>121</v>
      </c>
      <c r="C260">
        <v>2009</v>
      </c>
      <c r="E260">
        <v>2009</v>
      </c>
      <c r="G260" t="s">
        <v>259</v>
      </c>
      <c r="H260">
        <v>2000</v>
      </c>
      <c r="I260">
        <v>1</v>
      </c>
      <c r="N260">
        <v>4.18</v>
      </c>
      <c r="P260">
        <v>1.1599999999999999</v>
      </c>
      <c r="U260">
        <v>20</v>
      </c>
      <c r="X260">
        <v>34.369999999999997</v>
      </c>
      <c r="AC260">
        <v>0.57999999999999996</v>
      </c>
      <c r="AF260">
        <v>0.22800000000000001</v>
      </c>
      <c r="AG260">
        <v>2000</v>
      </c>
      <c r="AH260">
        <v>8368966</v>
      </c>
      <c r="AK260" t="s">
        <v>694</v>
      </c>
      <c r="AL260" t="s">
        <v>597</v>
      </c>
      <c r="AM260">
        <v>151.3704745</v>
      </c>
      <c r="AO260" t="s">
        <v>356</v>
      </c>
      <c r="AW260">
        <v>3994560</v>
      </c>
      <c r="AY260">
        <v>79891200</v>
      </c>
      <c r="AZ260">
        <v>39945600</v>
      </c>
      <c r="BB260">
        <v>0.03</v>
      </c>
    </row>
    <row r="261" spans="1:57">
      <c r="A261" t="s">
        <v>602</v>
      </c>
      <c r="B261" t="s">
        <v>398</v>
      </c>
      <c r="C261">
        <v>2009</v>
      </c>
      <c r="E261">
        <v>2009</v>
      </c>
      <c r="F261" t="s">
        <v>27</v>
      </c>
      <c r="H261">
        <v>5000</v>
      </c>
      <c r="I261">
        <v>40</v>
      </c>
      <c r="L261" t="s">
        <v>31</v>
      </c>
      <c r="M261">
        <v>100</v>
      </c>
      <c r="N261">
        <v>1.39</v>
      </c>
      <c r="P261">
        <v>0.39</v>
      </c>
      <c r="U261">
        <v>20</v>
      </c>
      <c r="X261">
        <v>18.52</v>
      </c>
      <c r="AC261">
        <v>1.08</v>
      </c>
      <c r="AE261">
        <v>116</v>
      </c>
      <c r="AF261">
        <v>0.53</v>
      </c>
      <c r="AG261">
        <v>200000</v>
      </c>
      <c r="AH261">
        <v>278568000</v>
      </c>
      <c r="AJ261">
        <v>0.4</v>
      </c>
      <c r="AK261" t="s">
        <v>694</v>
      </c>
      <c r="AL261" t="s">
        <v>597</v>
      </c>
      <c r="AM261">
        <v>151.3704745</v>
      </c>
      <c r="AO261" t="s">
        <v>356</v>
      </c>
      <c r="AS261">
        <v>111427200</v>
      </c>
      <c r="AU261">
        <v>0.56000000000000005</v>
      </c>
      <c r="AW261">
        <v>928560000</v>
      </c>
      <c r="AY261">
        <v>18571200000</v>
      </c>
      <c r="AZ261">
        <v>92856000</v>
      </c>
      <c r="BB261">
        <v>0.05</v>
      </c>
    </row>
    <row r="262" spans="1:57">
      <c r="A262" t="s">
        <v>612</v>
      </c>
      <c r="B262" t="s">
        <v>409</v>
      </c>
      <c r="C262">
        <v>2009</v>
      </c>
      <c r="E262">
        <v>2009</v>
      </c>
      <c r="G262" t="s">
        <v>410</v>
      </c>
      <c r="H262">
        <v>0.25</v>
      </c>
      <c r="I262">
        <v>1</v>
      </c>
      <c r="N262">
        <v>11.32</v>
      </c>
      <c r="P262">
        <v>3.14</v>
      </c>
      <c r="U262">
        <v>20</v>
      </c>
      <c r="X262">
        <v>3.05</v>
      </c>
      <c r="AC262">
        <v>6.55</v>
      </c>
      <c r="AF262">
        <v>5.5E-2</v>
      </c>
      <c r="AG262">
        <v>0.25</v>
      </c>
      <c r="AH262">
        <v>2830</v>
      </c>
      <c r="AJ262">
        <v>0.35</v>
      </c>
      <c r="AK262" t="s">
        <v>694</v>
      </c>
      <c r="AL262" t="s">
        <v>597</v>
      </c>
      <c r="AM262">
        <v>151.3704745</v>
      </c>
      <c r="AO262" t="s">
        <v>356</v>
      </c>
      <c r="AS262">
        <v>991</v>
      </c>
      <c r="AU262">
        <v>3.96</v>
      </c>
      <c r="AW262">
        <v>120.45</v>
      </c>
      <c r="AY262">
        <v>2400</v>
      </c>
      <c r="AZ262">
        <v>9600000</v>
      </c>
      <c r="BB262">
        <v>0.33</v>
      </c>
    </row>
    <row r="263" spans="1:57">
      <c r="A263" t="s">
        <v>612</v>
      </c>
      <c r="B263" t="s">
        <v>409</v>
      </c>
      <c r="C263">
        <v>2009</v>
      </c>
      <c r="E263">
        <v>2009</v>
      </c>
      <c r="G263" t="s">
        <v>410</v>
      </c>
      <c r="H263">
        <v>4500</v>
      </c>
      <c r="I263">
        <v>1</v>
      </c>
      <c r="J263" t="s">
        <v>405</v>
      </c>
      <c r="M263">
        <v>124</v>
      </c>
      <c r="N263">
        <v>15.59</v>
      </c>
      <c r="P263">
        <v>4.33</v>
      </c>
      <c r="U263">
        <v>20</v>
      </c>
      <c r="X263">
        <v>12.14</v>
      </c>
      <c r="AC263">
        <v>1.65</v>
      </c>
      <c r="AE263">
        <v>113</v>
      </c>
      <c r="AF263">
        <v>0.3</v>
      </c>
      <c r="AG263">
        <v>4500</v>
      </c>
      <c r="AH263">
        <v>70152000</v>
      </c>
      <c r="AJ263">
        <v>0.35</v>
      </c>
      <c r="AK263" t="s">
        <v>694</v>
      </c>
      <c r="AL263" t="s">
        <v>597</v>
      </c>
      <c r="AM263">
        <v>151.3704745</v>
      </c>
      <c r="AO263" t="s">
        <v>356</v>
      </c>
      <c r="AS263">
        <v>24553200</v>
      </c>
      <c r="AU263">
        <v>5.46</v>
      </c>
      <c r="AW263">
        <v>11826000</v>
      </c>
      <c r="AY263">
        <v>236520000</v>
      </c>
      <c r="AZ263">
        <v>52560000</v>
      </c>
      <c r="BB263">
        <v>0.08</v>
      </c>
    </row>
    <row r="264" spans="1:57">
      <c r="A264" t="s">
        <v>639</v>
      </c>
      <c r="B264" t="s">
        <v>412</v>
      </c>
      <c r="C264">
        <v>2009</v>
      </c>
      <c r="E264">
        <v>2009</v>
      </c>
      <c r="F264" t="s">
        <v>74</v>
      </c>
      <c r="H264">
        <v>3000</v>
      </c>
      <c r="I264">
        <v>1</v>
      </c>
      <c r="M264">
        <v>80</v>
      </c>
      <c r="N264">
        <v>28.08</v>
      </c>
      <c r="P264">
        <v>7.8</v>
      </c>
      <c r="U264">
        <v>20</v>
      </c>
      <c r="X264">
        <v>7.41</v>
      </c>
      <c r="AC264">
        <v>2.7</v>
      </c>
      <c r="AE264">
        <v>90</v>
      </c>
      <c r="AF264">
        <v>0.33</v>
      </c>
      <c r="AG264">
        <v>3000</v>
      </c>
      <c r="AH264">
        <v>84237000</v>
      </c>
      <c r="AJ264">
        <v>0.26340000000000002</v>
      </c>
      <c r="AK264" t="s">
        <v>694</v>
      </c>
      <c r="AL264" t="s">
        <v>597</v>
      </c>
      <c r="AM264">
        <v>151.3704745</v>
      </c>
      <c r="AO264" t="s">
        <v>356</v>
      </c>
      <c r="AS264">
        <v>22188026</v>
      </c>
      <c r="AU264">
        <v>7.4</v>
      </c>
      <c r="AW264">
        <v>8672400</v>
      </c>
      <c r="AY264">
        <v>173448000</v>
      </c>
      <c r="AZ264">
        <v>57816000</v>
      </c>
      <c r="BB264">
        <v>0.13</v>
      </c>
      <c r="BD264">
        <v>31.88</v>
      </c>
    </row>
    <row r="265" spans="1:57">
      <c r="A265" t="s">
        <v>639</v>
      </c>
      <c r="B265" t="s">
        <v>412</v>
      </c>
      <c r="C265">
        <v>2009</v>
      </c>
      <c r="E265">
        <v>2009</v>
      </c>
      <c r="F265" t="s">
        <v>74</v>
      </c>
      <c r="H265">
        <v>850</v>
      </c>
      <c r="I265">
        <v>1</v>
      </c>
      <c r="J265" t="s">
        <v>405</v>
      </c>
      <c r="M265">
        <v>60</v>
      </c>
      <c r="N265">
        <v>34.57</v>
      </c>
      <c r="P265">
        <v>9.6</v>
      </c>
      <c r="U265">
        <v>20</v>
      </c>
      <c r="X265">
        <v>6.2</v>
      </c>
      <c r="AC265">
        <v>3.22</v>
      </c>
      <c r="AE265">
        <v>52</v>
      </c>
      <c r="AF265">
        <v>0.34</v>
      </c>
      <c r="AG265">
        <v>850</v>
      </c>
      <c r="AH265">
        <v>29388000</v>
      </c>
      <c r="AJ265">
        <v>0.26690000000000003</v>
      </c>
      <c r="AK265" t="s">
        <v>694</v>
      </c>
      <c r="AL265" t="s">
        <v>597</v>
      </c>
      <c r="AM265">
        <v>151.3704745</v>
      </c>
      <c r="AO265" t="s">
        <v>356</v>
      </c>
      <c r="AS265">
        <v>7843657</v>
      </c>
      <c r="AU265">
        <v>9.23</v>
      </c>
      <c r="AW265">
        <v>2531640</v>
      </c>
      <c r="AY265">
        <v>50632800</v>
      </c>
      <c r="AZ265">
        <v>59568000</v>
      </c>
      <c r="BB265">
        <v>0.16</v>
      </c>
      <c r="BD265">
        <v>34.82</v>
      </c>
    </row>
    <row r="266" spans="1:57">
      <c r="A266" t="s">
        <v>639</v>
      </c>
      <c r="B266" t="s">
        <v>412</v>
      </c>
      <c r="C266">
        <v>2009</v>
      </c>
      <c r="E266">
        <v>2009</v>
      </c>
      <c r="H266">
        <v>3000</v>
      </c>
      <c r="I266">
        <v>1</v>
      </c>
      <c r="J266" t="s">
        <v>545</v>
      </c>
      <c r="L266" t="s">
        <v>24</v>
      </c>
      <c r="Q266">
        <v>7978608</v>
      </c>
      <c r="S266">
        <v>2.66</v>
      </c>
      <c r="U266">
        <v>20</v>
      </c>
      <c r="AE266">
        <v>90</v>
      </c>
      <c r="AF266">
        <v>0.33</v>
      </c>
      <c r="AG266">
        <v>3000</v>
      </c>
      <c r="AK266" t="s">
        <v>643</v>
      </c>
      <c r="AL266" t="s">
        <v>597</v>
      </c>
      <c r="AM266">
        <v>151.3704745</v>
      </c>
      <c r="AW266">
        <v>8672400</v>
      </c>
      <c r="AY266">
        <v>173448000</v>
      </c>
      <c r="AZ266">
        <v>57816000</v>
      </c>
      <c r="BD266">
        <v>46</v>
      </c>
    </row>
    <row r="267" spans="1:57">
      <c r="A267" t="s">
        <v>639</v>
      </c>
      <c r="B267" t="s">
        <v>412</v>
      </c>
      <c r="C267">
        <v>2009</v>
      </c>
      <c r="E267">
        <v>2009</v>
      </c>
      <c r="H267">
        <v>850</v>
      </c>
      <c r="I267">
        <v>1</v>
      </c>
      <c r="J267" t="s">
        <v>545</v>
      </c>
      <c r="L267" t="s">
        <v>24</v>
      </c>
      <c r="Q267">
        <v>415695</v>
      </c>
      <c r="S267">
        <v>0.49</v>
      </c>
      <c r="U267">
        <v>20</v>
      </c>
      <c r="AE267">
        <v>52</v>
      </c>
      <c r="AF267">
        <v>0.34</v>
      </c>
      <c r="AG267">
        <v>850</v>
      </c>
      <c r="AK267" t="s">
        <v>643</v>
      </c>
      <c r="AL267" t="s">
        <v>597</v>
      </c>
      <c r="AM267">
        <v>151.3704745</v>
      </c>
      <c r="AW267">
        <v>2531640</v>
      </c>
      <c r="AY267">
        <v>50632800</v>
      </c>
      <c r="AZ267">
        <v>59568000</v>
      </c>
      <c r="BD267">
        <v>8.2100000000000009</v>
      </c>
    </row>
    <row r="268" spans="1:57">
      <c r="A268" t="s">
        <v>624</v>
      </c>
      <c r="B268" t="s">
        <v>429</v>
      </c>
      <c r="C268">
        <v>2009</v>
      </c>
      <c r="E268">
        <v>2009</v>
      </c>
      <c r="H268">
        <v>2000</v>
      </c>
      <c r="I268">
        <v>1</v>
      </c>
      <c r="J268" t="s">
        <v>545</v>
      </c>
      <c r="L268" t="s">
        <v>24</v>
      </c>
      <c r="U268">
        <v>20</v>
      </c>
      <c r="AE268">
        <v>80</v>
      </c>
      <c r="AF268">
        <v>0.23</v>
      </c>
      <c r="AG268">
        <v>2000</v>
      </c>
      <c r="AK268" t="s">
        <v>643</v>
      </c>
      <c r="AL268" t="s">
        <v>597</v>
      </c>
      <c r="AM268">
        <v>151.3704745</v>
      </c>
      <c r="AW268">
        <v>4029600</v>
      </c>
      <c r="AY268">
        <v>80592000</v>
      </c>
      <c r="AZ268">
        <v>40296000</v>
      </c>
    </row>
    <row r="269" spans="1:57">
      <c r="A269" t="s">
        <v>624</v>
      </c>
      <c r="B269" t="s">
        <v>429</v>
      </c>
      <c r="C269">
        <v>2009</v>
      </c>
      <c r="E269">
        <v>2009</v>
      </c>
      <c r="H269">
        <v>2000</v>
      </c>
      <c r="I269">
        <v>1</v>
      </c>
      <c r="J269" t="s">
        <v>545</v>
      </c>
      <c r="L269" t="s">
        <v>24</v>
      </c>
      <c r="U269">
        <v>20</v>
      </c>
      <c r="AF269">
        <v>0.23</v>
      </c>
      <c r="AG269">
        <v>2000</v>
      </c>
      <c r="AK269" t="s">
        <v>643</v>
      </c>
      <c r="AL269" t="s">
        <v>597</v>
      </c>
      <c r="AM269">
        <v>151.3704745</v>
      </c>
      <c r="AW269">
        <v>4029600</v>
      </c>
      <c r="AY269">
        <v>80592000</v>
      </c>
      <c r="AZ269">
        <v>40296000</v>
      </c>
    </row>
    <row r="270" spans="1:57">
      <c r="A270" t="s">
        <v>612</v>
      </c>
      <c r="B270" t="s">
        <v>409</v>
      </c>
      <c r="C270">
        <v>2009</v>
      </c>
      <c r="E270">
        <v>2009</v>
      </c>
      <c r="H270">
        <v>4500</v>
      </c>
      <c r="I270">
        <v>1</v>
      </c>
      <c r="J270" t="s">
        <v>545</v>
      </c>
      <c r="L270" t="s">
        <v>24</v>
      </c>
      <c r="Q270">
        <v>1028862</v>
      </c>
      <c r="S270">
        <v>0.23</v>
      </c>
      <c r="U270">
        <v>20</v>
      </c>
      <c r="AF270">
        <v>0.28999999999999998</v>
      </c>
      <c r="AG270">
        <v>4500</v>
      </c>
      <c r="AK270" t="s">
        <v>643</v>
      </c>
      <c r="AL270" t="s">
        <v>597</v>
      </c>
      <c r="AM270">
        <v>151.3704745</v>
      </c>
      <c r="AW270">
        <v>11431800</v>
      </c>
      <c r="AY270">
        <v>228636000</v>
      </c>
      <c r="AZ270">
        <v>50808000</v>
      </c>
      <c r="BD270">
        <v>4.5</v>
      </c>
    </row>
    <row r="271" spans="1:57">
      <c r="A271" t="s">
        <v>624</v>
      </c>
      <c r="B271" t="s">
        <v>429</v>
      </c>
      <c r="C271">
        <v>2009</v>
      </c>
      <c r="E271">
        <v>2009</v>
      </c>
      <c r="H271">
        <v>0.25</v>
      </c>
      <c r="I271">
        <v>1</v>
      </c>
      <c r="J271" t="s">
        <v>548</v>
      </c>
      <c r="L271" t="s">
        <v>24</v>
      </c>
      <c r="Q271">
        <v>11</v>
      </c>
      <c r="S271">
        <v>0.04</v>
      </c>
      <c r="U271">
        <v>20</v>
      </c>
      <c r="AF271">
        <v>0.05</v>
      </c>
      <c r="AG271">
        <v>0.25</v>
      </c>
      <c r="AK271" t="s">
        <v>643</v>
      </c>
      <c r="AL271" t="s">
        <v>597</v>
      </c>
      <c r="AM271">
        <v>151.3704745</v>
      </c>
      <c r="AW271">
        <v>109.5</v>
      </c>
      <c r="AY271">
        <v>2190</v>
      </c>
      <c r="AZ271">
        <v>8760000</v>
      </c>
      <c r="BD271">
        <v>4.8</v>
      </c>
    </row>
    <row r="272" spans="1:57">
      <c r="A272" t="s">
        <v>602</v>
      </c>
      <c r="B272" t="s">
        <v>398</v>
      </c>
      <c r="C272">
        <v>2009</v>
      </c>
      <c r="E272">
        <v>2009</v>
      </c>
      <c r="H272">
        <v>5000</v>
      </c>
      <c r="I272">
        <v>1</v>
      </c>
      <c r="J272" t="s">
        <v>545</v>
      </c>
      <c r="L272" t="s">
        <v>31</v>
      </c>
      <c r="Q272">
        <v>2885544</v>
      </c>
      <c r="S272">
        <v>0.57999999999999996</v>
      </c>
      <c r="U272">
        <v>20</v>
      </c>
      <c r="AF272">
        <v>0.54</v>
      </c>
      <c r="AG272">
        <v>5000</v>
      </c>
      <c r="AK272" t="s">
        <v>643</v>
      </c>
      <c r="AL272" t="s">
        <v>597</v>
      </c>
      <c r="AM272">
        <v>151.3704745</v>
      </c>
      <c r="AN272" t="s">
        <v>560</v>
      </c>
      <c r="AW272">
        <v>23652000</v>
      </c>
      <c r="AY272">
        <v>473040000</v>
      </c>
      <c r="AZ272">
        <v>94608000</v>
      </c>
      <c r="BD272">
        <v>6.1</v>
      </c>
    </row>
    <row r="273" spans="1:56">
      <c r="A273" t="s">
        <v>639</v>
      </c>
      <c r="B273" t="s">
        <v>412</v>
      </c>
      <c r="C273">
        <v>2009</v>
      </c>
      <c r="E273">
        <v>2009</v>
      </c>
      <c r="H273">
        <v>3000</v>
      </c>
      <c r="I273">
        <v>1</v>
      </c>
      <c r="L273" t="s">
        <v>24</v>
      </c>
      <c r="Q273">
        <v>5532000</v>
      </c>
      <c r="S273">
        <v>1.84</v>
      </c>
      <c r="U273">
        <v>20</v>
      </c>
      <c r="AF273">
        <v>0.33</v>
      </c>
      <c r="AG273">
        <v>3000</v>
      </c>
      <c r="AK273" t="s">
        <v>598</v>
      </c>
      <c r="AL273" t="s">
        <v>597</v>
      </c>
      <c r="AM273">
        <v>151.3704745</v>
      </c>
      <c r="AW273">
        <v>8672400</v>
      </c>
      <c r="AY273">
        <v>173448000</v>
      </c>
      <c r="AZ273">
        <v>57816000</v>
      </c>
      <c r="BD273">
        <v>31.89</v>
      </c>
    </row>
    <row r="274" spans="1:56">
      <c r="A274" t="s">
        <v>639</v>
      </c>
      <c r="B274" t="s">
        <v>412</v>
      </c>
      <c r="C274">
        <v>2009</v>
      </c>
      <c r="E274">
        <v>2009</v>
      </c>
      <c r="H274">
        <v>850</v>
      </c>
      <c r="I274">
        <v>1</v>
      </c>
      <c r="L274" t="s">
        <v>24</v>
      </c>
      <c r="Q274">
        <v>1762900</v>
      </c>
      <c r="S274">
        <v>2.0699999999999998</v>
      </c>
      <c r="U274">
        <v>20</v>
      </c>
      <c r="AF274">
        <v>0.34</v>
      </c>
      <c r="AG274">
        <v>850</v>
      </c>
      <c r="AK274" t="s">
        <v>598</v>
      </c>
      <c r="AL274" t="s">
        <v>597</v>
      </c>
      <c r="AM274">
        <v>151.3704745</v>
      </c>
      <c r="AW274">
        <v>2531640</v>
      </c>
      <c r="AY274">
        <v>50632800</v>
      </c>
      <c r="AZ274">
        <v>59568000</v>
      </c>
      <c r="BD274">
        <v>34.82</v>
      </c>
    </row>
    <row r="275" spans="1:56">
      <c r="A275" t="s">
        <v>631</v>
      </c>
      <c r="B275" t="s">
        <v>424</v>
      </c>
      <c r="C275">
        <v>2009</v>
      </c>
      <c r="E275">
        <v>2009</v>
      </c>
      <c r="H275">
        <v>5000</v>
      </c>
      <c r="I275">
        <v>1</v>
      </c>
      <c r="L275" t="s">
        <v>24</v>
      </c>
      <c r="Q275">
        <v>1563660</v>
      </c>
      <c r="S275">
        <v>0.31</v>
      </c>
      <c r="U275">
        <v>30</v>
      </c>
      <c r="AF275">
        <v>0.42499999999999999</v>
      </c>
      <c r="AG275">
        <v>5000</v>
      </c>
      <c r="AK275" t="s">
        <v>598</v>
      </c>
      <c r="AL275" t="s">
        <v>597</v>
      </c>
      <c r="AM275">
        <v>151.3704745</v>
      </c>
      <c r="AW275">
        <v>18615000</v>
      </c>
      <c r="AY275">
        <v>558450000</v>
      </c>
      <c r="AZ275">
        <v>111690000</v>
      </c>
      <c r="BD275">
        <v>2.8</v>
      </c>
    </row>
    <row r="276" spans="1:56">
      <c r="A276" t="s">
        <v>631</v>
      </c>
      <c r="B276" t="s">
        <v>424</v>
      </c>
      <c r="C276">
        <v>2009</v>
      </c>
      <c r="E276">
        <v>2009</v>
      </c>
      <c r="H276">
        <v>5000</v>
      </c>
      <c r="I276">
        <v>1</v>
      </c>
      <c r="L276" t="s">
        <v>24</v>
      </c>
      <c r="Q276">
        <v>1563660</v>
      </c>
      <c r="S276">
        <v>0.31</v>
      </c>
      <c r="U276">
        <v>20</v>
      </c>
      <c r="AF276">
        <v>0.42499999999999999</v>
      </c>
      <c r="AG276">
        <v>5000</v>
      </c>
      <c r="AK276" t="s">
        <v>598</v>
      </c>
      <c r="AL276" t="s">
        <v>597</v>
      </c>
      <c r="AM276">
        <v>151.3704745</v>
      </c>
      <c r="AW276">
        <v>18615000</v>
      </c>
      <c r="AY276">
        <v>372300000</v>
      </c>
      <c r="AZ276">
        <v>74460000</v>
      </c>
      <c r="BD276">
        <v>4.2</v>
      </c>
    </row>
    <row r="277" spans="1:56">
      <c r="A277" t="s">
        <v>631</v>
      </c>
      <c r="B277" t="s">
        <v>424</v>
      </c>
      <c r="C277">
        <v>2009</v>
      </c>
      <c r="E277">
        <v>2009</v>
      </c>
      <c r="H277">
        <v>5000</v>
      </c>
      <c r="I277">
        <v>1</v>
      </c>
      <c r="L277" t="s">
        <v>24</v>
      </c>
      <c r="Q277">
        <v>2858738</v>
      </c>
      <c r="S277">
        <v>0.56999999999999995</v>
      </c>
      <c r="U277">
        <v>30</v>
      </c>
      <c r="AF277">
        <v>0.29399999999999998</v>
      </c>
      <c r="AG277">
        <v>5000</v>
      </c>
      <c r="AK277" t="s">
        <v>598</v>
      </c>
      <c r="AL277" t="s">
        <v>597</v>
      </c>
      <c r="AM277">
        <v>151.3704745</v>
      </c>
      <c r="AW277">
        <v>12877200</v>
      </c>
      <c r="AY277">
        <v>386316000</v>
      </c>
      <c r="AZ277">
        <v>77263200</v>
      </c>
      <c r="BD277">
        <v>7.4</v>
      </c>
    </row>
    <row r="278" spans="1:56">
      <c r="A278" t="s">
        <v>631</v>
      </c>
      <c r="B278" t="s">
        <v>424</v>
      </c>
      <c r="C278">
        <v>2009</v>
      </c>
      <c r="E278">
        <v>2009</v>
      </c>
      <c r="H278">
        <v>5000</v>
      </c>
      <c r="I278">
        <v>1</v>
      </c>
      <c r="L278" t="s">
        <v>24</v>
      </c>
      <c r="Q278">
        <v>2858738</v>
      </c>
      <c r="S278">
        <v>0.56999999999999995</v>
      </c>
      <c r="U278">
        <v>20</v>
      </c>
      <c r="AF278">
        <v>0.29399999999999998</v>
      </c>
      <c r="AG278">
        <v>5000</v>
      </c>
      <c r="AK278" t="s">
        <v>598</v>
      </c>
      <c r="AL278" t="s">
        <v>597</v>
      </c>
      <c r="AM278">
        <v>151.3704745</v>
      </c>
      <c r="AW278">
        <v>12877200</v>
      </c>
      <c r="AY278">
        <v>257544000</v>
      </c>
      <c r="AZ278">
        <v>51508800</v>
      </c>
      <c r="BD278">
        <v>11.1</v>
      </c>
    </row>
    <row r="279" spans="1:56">
      <c r="A279" t="s">
        <v>624</v>
      </c>
      <c r="B279" t="s">
        <v>429</v>
      </c>
      <c r="C279">
        <v>2009</v>
      </c>
      <c r="E279">
        <v>2009</v>
      </c>
      <c r="H279">
        <v>2000</v>
      </c>
      <c r="I279">
        <v>1</v>
      </c>
      <c r="L279" t="s">
        <v>24</v>
      </c>
      <c r="Q279">
        <v>496000</v>
      </c>
      <c r="S279">
        <v>0.25</v>
      </c>
      <c r="U279">
        <v>20</v>
      </c>
      <c r="AF279">
        <v>0.228310502</v>
      </c>
      <c r="AG279">
        <v>2000</v>
      </c>
      <c r="AK279" t="s">
        <v>598</v>
      </c>
      <c r="AL279" t="s">
        <v>597</v>
      </c>
      <c r="AM279">
        <v>151.3704745</v>
      </c>
      <c r="AW279">
        <v>4000000</v>
      </c>
      <c r="AY279">
        <v>80000000</v>
      </c>
      <c r="AZ279">
        <v>40000000</v>
      </c>
      <c r="BD279">
        <v>6.2</v>
      </c>
    </row>
    <row r="280" spans="1:56">
      <c r="A280" t="s">
        <v>624</v>
      </c>
      <c r="B280" t="s">
        <v>429</v>
      </c>
      <c r="C280">
        <v>2009</v>
      </c>
      <c r="E280">
        <v>2009</v>
      </c>
      <c r="H280">
        <v>2000</v>
      </c>
      <c r="I280">
        <v>1</v>
      </c>
      <c r="L280" t="s">
        <v>24</v>
      </c>
      <c r="Q280">
        <v>526400</v>
      </c>
      <c r="S280">
        <v>0.26</v>
      </c>
      <c r="U280">
        <v>20</v>
      </c>
      <c r="AF280">
        <v>0.228310502</v>
      </c>
      <c r="AG280">
        <v>2000</v>
      </c>
      <c r="AK280" t="s">
        <v>598</v>
      </c>
      <c r="AL280" t="s">
        <v>597</v>
      </c>
      <c r="AM280">
        <v>151.3704745</v>
      </c>
      <c r="AW280">
        <v>4000000</v>
      </c>
      <c r="AY280">
        <v>80000000</v>
      </c>
      <c r="AZ280">
        <v>40000000</v>
      </c>
      <c r="BD280">
        <v>6.58</v>
      </c>
    </row>
    <row r="281" spans="1:56">
      <c r="A281" t="s">
        <v>624</v>
      </c>
      <c r="B281" t="s">
        <v>429</v>
      </c>
      <c r="C281">
        <v>2009</v>
      </c>
      <c r="E281">
        <v>2009</v>
      </c>
      <c r="H281">
        <v>2000</v>
      </c>
      <c r="I281">
        <v>1</v>
      </c>
      <c r="L281" t="s">
        <v>24</v>
      </c>
      <c r="Q281">
        <v>743200</v>
      </c>
      <c r="S281">
        <v>0.37</v>
      </c>
      <c r="U281">
        <v>20</v>
      </c>
      <c r="AF281">
        <v>0.228310502</v>
      </c>
      <c r="AG281">
        <v>2000</v>
      </c>
      <c r="AK281" t="s">
        <v>598</v>
      </c>
      <c r="AL281" t="s">
        <v>597</v>
      </c>
      <c r="AM281">
        <v>151.3704745</v>
      </c>
      <c r="AW281">
        <v>4000000</v>
      </c>
      <c r="AY281">
        <v>80000000</v>
      </c>
      <c r="AZ281">
        <v>40000000</v>
      </c>
      <c r="BD281">
        <v>9.2899999999999991</v>
      </c>
    </row>
    <row r="282" spans="1:56">
      <c r="A282" t="s">
        <v>617</v>
      </c>
      <c r="B282" t="s">
        <v>436</v>
      </c>
      <c r="C282">
        <v>2009</v>
      </c>
      <c r="E282">
        <v>2009</v>
      </c>
      <c r="H282">
        <v>1650</v>
      </c>
      <c r="I282">
        <v>1</v>
      </c>
      <c r="L282" t="s">
        <v>24</v>
      </c>
      <c r="Q282">
        <v>1685455</v>
      </c>
      <c r="S282">
        <v>1.02</v>
      </c>
      <c r="U282">
        <v>100</v>
      </c>
      <c r="AF282">
        <v>0.388693913</v>
      </c>
      <c r="AG282">
        <v>1650</v>
      </c>
      <c r="AK282" t="s">
        <v>598</v>
      </c>
      <c r="AL282" t="s">
        <v>597</v>
      </c>
      <c r="AM282">
        <v>151.3704745</v>
      </c>
      <c r="AW282">
        <v>5618181.8181818202</v>
      </c>
      <c r="AY282">
        <v>561818181.81818199</v>
      </c>
      <c r="AZ282">
        <v>340495867.76859498</v>
      </c>
      <c r="BD282">
        <v>3</v>
      </c>
    </row>
    <row r="283" spans="1:56">
      <c r="A283" t="s">
        <v>612</v>
      </c>
      <c r="B283" t="s">
        <v>409</v>
      </c>
      <c r="C283">
        <v>2009</v>
      </c>
      <c r="E283">
        <v>2009</v>
      </c>
      <c r="H283">
        <v>4500</v>
      </c>
      <c r="I283">
        <v>1</v>
      </c>
      <c r="L283" t="s">
        <v>24</v>
      </c>
      <c r="Q283">
        <v>2823733</v>
      </c>
      <c r="S283">
        <v>0.63</v>
      </c>
      <c r="U283">
        <v>20</v>
      </c>
      <c r="AF283">
        <v>0.29599999999999999</v>
      </c>
      <c r="AG283">
        <v>4500</v>
      </c>
      <c r="AK283" t="s">
        <v>598</v>
      </c>
      <c r="AL283" t="s">
        <v>597</v>
      </c>
      <c r="AM283">
        <v>151.3704745</v>
      </c>
      <c r="AW283">
        <v>11668320</v>
      </c>
      <c r="AY283">
        <v>233366400</v>
      </c>
      <c r="AZ283">
        <v>51859200</v>
      </c>
      <c r="BD283">
        <v>12.1</v>
      </c>
    </row>
    <row r="284" spans="1:56">
      <c r="A284" t="s">
        <v>612</v>
      </c>
      <c r="B284" t="s">
        <v>409</v>
      </c>
      <c r="C284">
        <v>2009</v>
      </c>
      <c r="E284">
        <v>2009</v>
      </c>
      <c r="H284">
        <v>4500</v>
      </c>
      <c r="I284">
        <v>1</v>
      </c>
      <c r="L284" t="s">
        <v>24</v>
      </c>
      <c r="Q284">
        <v>3737016</v>
      </c>
      <c r="S284">
        <v>0.83</v>
      </c>
      <c r="U284">
        <v>20</v>
      </c>
      <c r="AF284">
        <v>0.3</v>
      </c>
      <c r="AG284">
        <v>4500</v>
      </c>
      <c r="AK284" t="s">
        <v>598</v>
      </c>
      <c r="AL284" t="s">
        <v>597</v>
      </c>
      <c r="AM284">
        <v>151.3704745</v>
      </c>
      <c r="AW284">
        <v>11826000</v>
      </c>
      <c r="AY284">
        <v>236520000</v>
      </c>
      <c r="AZ284">
        <v>52560000</v>
      </c>
      <c r="BD284">
        <v>15.8</v>
      </c>
    </row>
    <row r="285" spans="1:56">
      <c r="A285" t="s">
        <v>612</v>
      </c>
      <c r="B285" t="s">
        <v>409</v>
      </c>
      <c r="C285">
        <v>2009</v>
      </c>
      <c r="E285">
        <v>2009</v>
      </c>
      <c r="H285">
        <v>4500</v>
      </c>
      <c r="I285">
        <v>1</v>
      </c>
      <c r="L285" t="s">
        <v>24</v>
      </c>
      <c r="Q285">
        <v>4947368</v>
      </c>
      <c r="S285">
        <v>1.1000000000000001</v>
      </c>
      <c r="U285">
        <v>20</v>
      </c>
      <c r="AF285">
        <v>0.29599999999999999</v>
      </c>
      <c r="AG285">
        <v>4500</v>
      </c>
      <c r="AK285" t="s">
        <v>598</v>
      </c>
      <c r="AL285" t="s">
        <v>597</v>
      </c>
      <c r="AM285">
        <v>151.3704745</v>
      </c>
      <c r="AW285">
        <v>11668320</v>
      </c>
      <c r="AY285">
        <v>233366400</v>
      </c>
      <c r="AZ285">
        <v>51859200</v>
      </c>
      <c r="BD285">
        <v>21.2</v>
      </c>
    </row>
    <row r="286" spans="1:56">
      <c r="A286" t="s">
        <v>602</v>
      </c>
      <c r="B286" t="s">
        <v>398</v>
      </c>
      <c r="C286">
        <v>2009</v>
      </c>
      <c r="E286">
        <v>2009</v>
      </c>
      <c r="H286">
        <v>5000</v>
      </c>
      <c r="I286">
        <v>1</v>
      </c>
      <c r="L286" t="s">
        <v>31</v>
      </c>
      <c r="Q286">
        <v>5348506</v>
      </c>
      <c r="S286">
        <v>1.07</v>
      </c>
      <c r="U286">
        <v>20</v>
      </c>
      <c r="AF286">
        <v>0.53</v>
      </c>
      <c r="AG286">
        <v>5000</v>
      </c>
      <c r="AK286" t="s">
        <v>598</v>
      </c>
      <c r="AL286" t="s">
        <v>597</v>
      </c>
      <c r="AM286">
        <v>151.3704745</v>
      </c>
      <c r="AW286">
        <v>23214000</v>
      </c>
      <c r="AY286">
        <v>464280000</v>
      </c>
      <c r="AZ286">
        <v>92856000</v>
      </c>
      <c r="BD286">
        <v>11.52</v>
      </c>
    </row>
    <row r="287" spans="1:56">
      <c r="A287" t="s">
        <v>602</v>
      </c>
      <c r="B287" t="s">
        <v>398</v>
      </c>
      <c r="C287">
        <v>2009</v>
      </c>
      <c r="E287">
        <v>2009</v>
      </c>
      <c r="H287">
        <v>5000</v>
      </c>
      <c r="I287">
        <v>1</v>
      </c>
      <c r="L287" t="s">
        <v>31</v>
      </c>
      <c r="Q287">
        <v>5682787</v>
      </c>
      <c r="S287">
        <v>1.1399999999999999</v>
      </c>
      <c r="U287">
        <v>20</v>
      </c>
      <c r="AF287">
        <v>0.53</v>
      </c>
      <c r="AG287">
        <v>5000</v>
      </c>
      <c r="AK287" t="s">
        <v>598</v>
      </c>
      <c r="AL287" t="s">
        <v>597</v>
      </c>
      <c r="AM287">
        <v>151.3704745</v>
      </c>
      <c r="AW287">
        <v>23214000</v>
      </c>
      <c r="AY287">
        <v>464280000</v>
      </c>
      <c r="AZ287">
        <v>92856000</v>
      </c>
      <c r="BD287">
        <v>12.24</v>
      </c>
    </row>
    <row r="288" spans="1:56">
      <c r="A288" t="s">
        <v>602</v>
      </c>
      <c r="B288" t="s">
        <v>398</v>
      </c>
      <c r="C288">
        <v>2009</v>
      </c>
      <c r="E288">
        <v>2009</v>
      </c>
      <c r="H288">
        <v>2000</v>
      </c>
      <c r="I288">
        <v>1</v>
      </c>
      <c r="L288" t="s">
        <v>31</v>
      </c>
      <c r="Q288">
        <v>1438042</v>
      </c>
      <c r="S288">
        <v>0.72</v>
      </c>
      <c r="U288">
        <v>20</v>
      </c>
      <c r="AF288">
        <v>0.3</v>
      </c>
      <c r="AG288">
        <v>2000</v>
      </c>
      <c r="AK288" t="s">
        <v>598</v>
      </c>
      <c r="AL288" t="s">
        <v>597</v>
      </c>
      <c r="AM288">
        <v>151.3704745</v>
      </c>
      <c r="AW288">
        <v>5256000</v>
      </c>
      <c r="AY288">
        <v>105120000</v>
      </c>
      <c r="AZ288">
        <v>52560000</v>
      </c>
      <c r="BD288">
        <v>13.68</v>
      </c>
    </row>
    <row r="289" spans="1:57">
      <c r="A289" t="s">
        <v>647</v>
      </c>
      <c r="B289" t="s">
        <v>544</v>
      </c>
      <c r="C289">
        <v>2010</v>
      </c>
      <c r="E289">
        <v>2010</v>
      </c>
      <c r="H289">
        <v>1</v>
      </c>
      <c r="I289">
        <v>1</v>
      </c>
      <c r="J289" t="s">
        <v>545</v>
      </c>
      <c r="L289" t="s">
        <v>24</v>
      </c>
      <c r="N289">
        <v>15.94</v>
      </c>
      <c r="Q289">
        <v>6868</v>
      </c>
      <c r="S289">
        <v>6.87</v>
      </c>
      <c r="U289">
        <v>20</v>
      </c>
      <c r="X289">
        <v>2.77</v>
      </c>
      <c r="Z289">
        <v>1.3</v>
      </c>
      <c r="AF289">
        <v>7.0000000000000007E-2</v>
      </c>
      <c r="AG289">
        <v>1</v>
      </c>
      <c r="AH289">
        <v>15943</v>
      </c>
      <c r="AK289" t="s">
        <v>643</v>
      </c>
      <c r="AL289" t="s">
        <v>597</v>
      </c>
      <c r="AM289">
        <v>183.5233025</v>
      </c>
      <c r="AQ289">
        <v>4428.7</v>
      </c>
      <c r="AW289">
        <v>613.20000000000005</v>
      </c>
      <c r="AY289">
        <v>12264</v>
      </c>
      <c r="AZ289">
        <v>12264000</v>
      </c>
      <c r="BB289">
        <v>0.36</v>
      </c>
      <c r="BD289">
        <v>560</v>
      </c>
    </row>
    <row r="290" spans="1:57">
      <c r="A290" t="s">
        <v>647</v>
      </c>
      <c r="B290" t="s">
        <v>544</v>
      </c>
      <c r="C290">
        <v>2010</v>
      </c>
      <c r="E290">
        <v>2010</v>
      </c>
      <c r="H290">
        <v>1</v>
      </c>
      <c r="I290">
        <v>1</v>
      </c>
      <c r="J290" t="s">
        <v>545</v>
      </c>
      <c r="L290" t="s">
        <v>24</v>
      </c>
      <c r="N290">
        <v>39.630000000000003</v>
      </c>
      <c r="Q290">
        <v>7288</v>
      </c>
      <c r="S290">
        <v>7.29</v>
      </c>
      <c r="U290">
        <v>20</v>
      </c>
      <c r="X290">
        <v>4.1399999999999997</v>
      </c>
      <c r="Z290">
        <v>0.87</v>
      </c>
      <c r="AF290">
        <v>0.26</v>
      </c>
      <c r="AG290">
        <v>1</v>
      </c>
      <c r="AH290">
        <v>39630</v>
      </c>
      <c r="AK290" t="s">
        <v>643</v>
      </c>
      <c r="AL290" t="s">
        <v>597</v>
      </c>
      <c r="AM290">
        <v>183.5233025</v>
      </c>
      <c r="AQ290">
        <v>11008.4</v>
      </c>
      <c r="AW290">
        <v>2277.6</v>
      </c>
      <c r="AY290">
        <v>45552</v>
      </c>
      <c r="AZ290">
        <v>45552000</v>
      </c>
      <c r="BB290">
        <v>0.24</v>
      </c>
      <c r="BD290">
        <v>160</v>
      </c>
    </row>
    <row r="291" spans="1:57">
      <c r="A291" t="s">
        <v>647</v>
      </c>
      <c r="B291" t="s">
        <v>544</v>
      </c>
      <c r="C291">
        <v>2010</v>
      </c>
      <c r="E291">
        <v>2010</v>
      </c>
      <c r="H291">
        <v>1</v>
      </c>
      <c r="I291">
        <v>1</v>
      </c>
      <c r="J291" t="s">
        <v>545</v>
      </c>
      <c r="L291" t="s">
        <v>24</v>
      </c>
      <c r="N291">
        <v>265.77999999999997</v>
      </c>
      <c r="Q291">
        <v>7183</v>
      </c>
      <c r="S291">
        <v>7.18</v>
      </c>
      <c r="U291">
        <v>20</v>
      </c>
      <c r="X291">
        <v>0.97</v>
      </c>
      <c r="Z291">
        <v>3.7</v>
      </c>
      <c r="AF291">
        <v>0.41</v>
      </c>
      <c r="AG291">
        <v>1</v>
      </c>
      <c r="AH291">
        <v>265778</v>
      </c>
      <c r="AK291" t="s">
        <v>643</v>
      </c>
      <c r="AL291" t="s">
        <v>597</v>
      </c>
      <c r="AM291">
        <v>183.5233025</v>
      </c>
      <c r="AQ291">
        <v>73827.3</v>
      </c>
      <c r="AW291">
        <v>3591.6</v>
      </c>
      <c r="AY291">
        <v>71832</v>
      </c>
      <c r="AZ291">
        <v>71832000</v>
      </c>
      <c r="BB291">
        <v>1.03</v>
      </c>
      <c r="BD291">
        <v>100</v>
      </c>
    </row>
    <row r="292" spans="1:57">
      <c r="A292" t="s">
        <v>647</v>
      </c>
      <c r="B292" t="s">
        <v>544</v>
      </c>
      <c r="C292">
        <v>2010</v>
      </c>
      <c r="E292">
        <v>2010</v>
      </c>
      <c r="H292">
        <v>10</v>
      </c>
      <c r="I292">
        <v>1</v>
      </c>
      <c r="J292" t="s">
        <v>545</v>
      </c>
      <c r="L292" t="s">
        <v>24</v>
      </c>
      <c r="N292">
        <v>8.5500000000000007</v>
      </c>
      <c r="Q292">
        <v>39245</v>
      </c>
      <c r="S292">
        <v>3.92</v>
      </c>
      <c r="U292">
        <v>20</v>
      </c>
      <c r="X292">
        <v>5.9</v>
      </c>
      <c r="Z292">
        <v>0.61</v>
      </c>
      <c r="AF292">
        <v>0.08</v>
      </c>
      <c r="AG292">
        <v>10</v>
      </c>
      <c r="AH292">
        <v>85498</v>
      </c>
      <c r="AK292" t="s">
        <v>643</v>
      </c>
      <c r="AL292" t="s">
        <v>597</v>
      </c>
      <c r="AM292">
        <v>183.5233025</v>
      </c>
      <c r="AQ292">
        <v>23749.3</v>
      </c>
      <c r="AW292">
        <v>7008</v>
      </c>
      <c r="AY292">
        <v>140160</v>
      </c>
      <c r="AZ292">
        <v>14016000</v>
      </c>
      <c r="BB292">
        <v>0.17</v>
      </c>
      <c r="BD292">
        <v>280</v>
      </c>
    </row>
    <row r="293" spans="1:57">
      <c r="A293" t="s">
        <v>647</v>
      </c>
      <c r="B293" t="s">
        <v>544</v>
      </c>
      <c r="C293">
        <v>2010</v>
      </c>
      <c r="E293">
        <v>2010</v>
      </c>
      <c r="H293">
        <v>10</v>
      </c>
      <c r="I293">
        <v>1</v>
      </c>
      <c r="J293" t="s">
        <v>545</v>
      </c>
      <c r="L293" t="s">
        <v>24</v>
      </c>
      <c r="N293">
        <v>13.67</v>
      </c>
      <c r="Q293">
        <v>39175</v>
      </c>
      <c r="S293">
        <v>3.92</v>
      </c>
      <c r="U293">
        <v>20</v>
      </c>
      <c r="X293">
        <v>12</v>
      </c>
      <c r="Z293">
        <v>0.3</v>
      </c>
      <c r="AF293">
        <v>0.26</v>
      </c>
      <c r="AG293">
        <v>10</v>
      </c>
      <c r="AH293">
        <v>136656</v>
      </c>
      <c r="AK293" t="s">
        <v>643</v>
      </c>
      <c r="AL293" t="s">
        <v>597</v>
      </c>
      <c r="AM293">
        <v>183.5233025</v>
      </c>
      <c r="AQ293">
        <v>37960</v>
      </c>
      <c r="AW293">
        <v>22776</v>
      </c>
      <c r="AY293">
        <v>455520</v>
      </c>
      <c r="AZ293">
        <v>45552000</v>
      </c>
      <c r="BB293">
        <v>0.08</v>
      </c>
      <c r="BD293">
        <v>86</v>
      </c>
    </row>
    <row r="294" spans="1:57">
      <c r="A294" t="s">
        <v>647</v>
      </c>
      <c r="B294" t="s">
        <v>544</v>
      </c>
      <c r="C294">
        <v>2010</v>
      </c>
      <c r="E294">
        <v>2010</v>
      </c>
      <c r="H294">
        <v>10</v>
      </c>
      <c r="I294">
        <v>1</v>
      </c>
      <c r="J294" t="s">
        <v>545</v>
      </c>
      <c r="L294" t="s">
        <v>24</v>
      </c>
      <c r="Q294">
        <v>39630</v>
      </c>
      <c r="S294">
        <v>3.96</v>
      </c>
      <c r="U294">
        <v>20</v>
      </c>
      <c r="AF294">
        <v>0.39</v>
      </c>
      <c r="AG294">
        <v>10</v>
      </c>
      <c r="AK294" t="s">
        <v>643</v>
      </c>
      <c r="AL294" t="s">
        <v>597</v>
      </c>
      <c r="AM294">
        <v>183.5233025</v>
      </c>
      <c r="AW294">
        <v>34164</v>
      </c>
      <c r="AY294">
        <v>683280</v>
      </c>
      <c r="AZ294">
        <v>68328000</v>
      </c>
      <c r="BD294">
        <v>58</v>
      </c>
    </row>
    <row r="295" spans="1:57">
      <c r="A295" t="s">
        <v>647</v>
      </c>
      <c r="B295" t="s">
        <v>544</v>
      </c>
      <c r="C295">
        <v>2010</v>
      </c>
      <c r="E295">
        <v>2010</v>
      </c>
      <c r="H295">
        <v>30</v>
      </c>
      <c r="I295">
        <v>1</v>
      </c>
      <c r="J295" t="s">
        <v>545</v>
      </c>
      <c r="L295" t="s">
        <v>24</v>
      </c>
      <c r="Q295">
        <v>37843</v>
      </c>
      <c r="S295">
        <v>1.26</v>
      </c>
      <c r="U295">
        <v>20</v>
      </c>
      <c r="AF295">
        <v>0.03</v>
      </c>
      <c r="AG295">
        <v>30</v>
      </c>
      <c r="AK295" t="s">
        <v>643</v>
      </c>
      <c r="AL295" t="s">
        <v>597</v>
      </c>
      <c r="AM295">
        <v>183.5233025</v>
      </c>
      <c r="AW295">
        <v>7884</v>
      </c>
      <c r="AY295">
        <v>157680</v>
      </c>
      <c r="AZ295">
        <v>5256000</v>
      </c>
      <c r="BD295">
        <v>240</v>
      </c>
    </row>
    <row r="296" spans="1:57">
      <c r="A296" t="s">
        <v>647</v>
      </c>
      <c r="B296" t="s">
        <v>544</v>
      </c>
      <c r="C296">
        <v>2010</v>
      </c>
      <c r="E296">
        <v>2010</v>
      </c>
      <c r="H296">
        <v>30</v>
      </c>
      <c r="I296">
        <v>1</v>
      </c>
      <c r="J296" t="s">
        <v>545</v>
      </c>
      <c r="L296" t="s">
        <v>24</v>
      </c>
      <c r="Q296">
        <v>42048</v>
      </c>
      <c r="S296">
        <v>1.4</v>
      </c>
      <c r="U296">
        <v>20</v>
      </c>
      <c r="AF296">
        <v>0.2</v>
      </c>
      <c r="AG296">
        <v>30</v>
      </c>
      <c r="AK296" t="s">
        <v>643</v>
      </c>
      <c r="AL296" t="s">
        <v>597</v>
      </c>
      <c r="AM296">
        <v>183.5233025</v>
      </c>
      <c r="AW296">
        <v>52560</v>
      </c>
      <c r="AY296">
        <v>1051200</v>
      </c>
      <c r="AZ296">
        <v>35040000</v>
      </c>
      <c r="BD296">
        <v>40</v>
      </c>
    </row>
    <row r="297" spans="1:57">
      <c r="A297" t="s">
        <v>647</v>
      </c>
      <c r="B297" t="s">
        <v>544</v>
      </c>
      <c r="C297">
        <v>2010</v>
      </c>
      <c r="E297">
        <v>2010</v>
      </c>
      <c r="H297">
        <v>30</v>
      </c>
      <c r="I297">
        <v>1</v>
      </c>
      <c r="J297" t="s">
        <v>545</v>
      </c>
      <c r="L297" t="s">
        <v>24</v>
      </c>
      <c r="AF297">
        <v>0.4</v>
      </c>
      <c r="AG297">
        <v>30</v>
      </c>
      <c r="AK297" t="s">
        <v>643</v>
      </c>
      <c r="AL297" t="s">
        <v>597</v>
      </c>
      <c r="AM297">
        <v>183.5233025</v>
      </c>
      <c r="AW297">
        <v>105120</v>
      </c>
      <c r="BD297">
        <v>20</v>
      </c>
    </row>
    <row r="298" spans="1:57">
      <c r="A298" t="s">
        <v>608</v>
      </c>
      <c r="B298" t="s">
        <v>453</v>
      </c>
      <c r="C298">
        <v>2010</v>
      </c>
      <c r="E298">
        <v>2010</v>
      </c>
      <c r="H298">
        <v>2156.0975609759998</v>
      </c>
      <c r="I298">
        <v>1</v>
      </c>
      <c r="L298" t="s">
        <v>456</v>
      </c>
      <c r="Q298">
        <v>1731043</v>
      </c>
      <c r="S298">
        <v>0.8</v>
      </c>
      <c r="U298">
        <v>20</v>
      </c>
      <c r="AF298">
        <v>0.28699999999999998</v>
      </c>
      <c r="AG298">
        <v>2156.0975609759998</v>
      </c>
      <c r="AK298" t="s">
        <v>598</v>
      </c>
      <c r="AL298" t="s">
        <v>597</v>
      </c>
      <c r="AM298">
        <v>183.5233025</v>
      </c>
      <c r="AW298">
        <v>5420688</v>
      </c>
      <c r="AY298">
        <v>108413760</v>
      </c>
      <c r="AZ298">
        <v>50282400</v>
      </c>
      <c r="BD298">
        <v>15.97</v>
      </c>
    </row>
    <row r="299" spans="1:57">
      <c r="A299" t="s">
        <v>608</v>
      </c>
      <c r="B299" t="s">
        <v>453</v>
      </c>
      <c r="C299">
        <v>2010</v>
      </c>
      <c r="E299">
        <v>2010</v>
      </c>
      <c r="H299">
        <v>2156.0975609759998</v>
      </c>
      <c r="I299">
        <v>1</v>
      </c>
      <c r="L299" t="s">
        <v>456</v>
      </c>
      <c r="Q299">
        <v>1861139</v>
      </c>
      <c r="S299">
        <v>0.86</v>
      </c>
      <c r="U299">
        <v>20</v>
      </c>
      <c r="AF299">
        <v>0.28699999999999998</v>
      </c>
      <c r="AG299">
        <v>2156.0975609759998</v>
      </c>
      <c r="AK299" t="s">
        <v>598</v>
      </c>
      <c r="AL299" t="s">
        <v>597</v>
      </c>
      <c r="AM299">
        <v>183.5233025</v>
      </c>
      <c r="AW299">
        <v>5420688</v>
      </c>
      <c r="AY299">
        <v>108413760</v>
      </c>
      <c r="AZ299">
        <v>50282400</v>
      </c>
      <c r="BD299">
        <v>17.170000000000002</v>
      </c>
    </row>
    <row r="300" spans="1:57">
      <c r="A300" s="237" t="s">
        <v>770</v>
      </c>
      <c r="B300" s="237" t="s">
        <v>445</v>
      </c>
      <c r="C300" s="237">
        <v>2011</v>
      </c>
      <c r="D300" s="237"/>
      <c r="E300" s="237">
        <v>2011</v>
      </c>
      <c r="F300" s="237" t="s">
        <v>27</v>
      </c>
      <c r="G300" s="237" t="s">
        <v>224</v>
      </c>
      <c r="H300" s="237">
        <v>2300</v>
      </c>
      <c r="I300" s="237">
        <v>1</v>
      </c>
      <c r="J300" s="237" t="s">
        <v>529</v>
      </c>
      <c r="K300" s="237"/>
      <c r="L300" s="237" t="s">
        <v>24</v>
      </c>
      <c r="M300" s="237">
        <v>97</v>
      </c>
      <c r="N300" s="237">
        <v>4.51</v>
      </c>
      <c r="O300" s="237"/>
      <c r="P300" s="237">
        <v>1.25</v>
      </c>
      <c r="Q300" s="237"/>
      <c r="R300" s="237"/>
      <c r="S300" s="237"/>
      <c r="T300" s="237"/>
      <c r="U300" s="237">
        <v>20</v>
      </c>
      <c r="V300" s="237"/>
      <c r="W300" s="237"/>
      <c r="X300" s="237"/>
      <c r="Y300" s="237"/>
      <c r="Z300" s="237"/>
      <c r="AA300" s="237"/>
      <c r="AB300" s="237"/>
      <c r="AC300" s="237">
        <v>0.56000000000000005</v>
      </c>
      <c r="AD300" s="237" t="s">
        <v>464</v>
      </c>
      <c r="AE300" s="237"/>
      <c r="AF300" s="237">
        <v>0.253102045</v>
      </c>
      <c r="AG300" s="237">
        <v>2300</v>
      </c>
      <c r="AH300" s="237">
        <v>10368000</v>
      </c>
      <c r="AI300" s="237"/>
      <c r="AJ300" s="237"/>
      <c r="AK300" s="237" t="s">
        <v>769</v>
      </c>
      <c r="AL300" s="237" t="s">
        <v>597</v>
      </c>
      <c r="AM300" s="237">
        <v>227.632904</v>
      </c>
      <c r="AN300" s="237"/>
      <c r="AO300" s="237" t="s">
        <v>356</v>
      </c>
      <c r="AP300" s="237"/>
      <c r="AQ300" s="237">
        <v>2880000</v>
      </c>
      <c r="AR300" s="237"/>
      <c r="AS300" s="237"/>
      <c r="AT300" s="237"/>
      <c r="AU300" s="237"/>
      <c r="AV300" s="237"/>
      <c r="AW300" s="237">
        <v>5099500</v>
      </c>
      <c r="AX300" s="237"/>
      <c r="AY300" s="237">
        <v>101990000</v>
      </c>
      <c r="AZ300" s="237">
        <v>44343478.2608696</v>
      </c>
      <c r="BA300" s="237"/>
      <c r="BB300" s="237">
        <v>2.8000000000000001E-2</v>
      </c>
      <c r="BC300" s="237"/>
      <c r="BD300" s="237"/>
      <c r="BE300" s="237"/>
    </row>
    <row r="301" spans="1:57">
      <c r="A301" s="238" t="s">
        <v>770</v>
      </c>
      <c r="B301" s="238" t="s">
        <v>445</v>
      </c>
      <c r="C301" s="238">
        <v>2011</v>
      </c>
      <c r="D301" s="238"/>
      <c r="E301" s="238">
        <v>2011</v>
      </c>
      <c r="F301" s="238" t="s">
        <v>27</v>
      </c>
      <c r="G301" s="238" t="s">
        <v>224</v>
      </c>
      <c r="H301" s="238">
        <v>2300</v>
      </c>
      <c r="I301" s="238">
        <v>1</v>
      </c>
      <c r="J301" s="238" t="s">
        <v>529</v>
      </c>
      <c r="K301" s="238"/>
      <c r="L301" s="238" t="s">
        <v>24</v>
      </c>
      <c r="M301" s="238"/>
      <c r="N301" s="238">
        <v>4.51</v>
      </c>
      <c r="O301" s="238"/>
      <c r="P301" s="238">
        <v>1.25</v>
      </c>
      <c r="Q301" s="238"/>
      <c r="R301" s="238"/>
      <c r="S301" s="238"/>
      <c r="T301" s="238"/>
      <c r="U301" s="238">
        <v>20</v>
      </c>
      <c r="V301" s="238"/>
      <c r="W301" s="238"/>
      <c r="X301" s="238"/>
      <c r="Y301" s="238"/>
      <c r="Z301" s="238"/>
      <c r="AA301" s="238"/>
      <c r="AB301" s="238"/>
      <c r="AC301" s="238">
        <v>0.49</v>
      </c>
      <c r="AD301" s="238" t="s">
        <v>464</v>
      </c>
      <c r="AE301" s="238"/>
      <c r="AF301" s="238">
        <v>0.29159221800000001</v>
      </c>
      <c r="AG301" s="238">
        <v>2300</v>
      </c>
      <c r="AH301" s="238">
        <v>10368000</v>
      </c>
      <c r="AI301" s="238"/>
      <c r="AJ301" s="238"/>
      <c r="AK301" s="238" t="s">
        <v>769</v>
      </c>
      <c r="AL301" s="238" t="s">
        <v>597</v>
      </c>
      <c r="AM301" s="238">
        <v>227.632904</v>
      </c>
      <c r="AN301" s="238"/>
      <c r="AO301" s="238" t="s">
        <v>356</v>
      </c>
      <c r="AP301" s="238"/>
      <c r="AQ301" s="238">
        <v>2880000</v>
      </c>
      <c r="AR301" s="238"/>
      <c r="AS301" s="238"/>
      <c r="AT301" s="238"/>
      <c r="AU301" s="238"/>
      <c r="AV301" s="238"/>
      <c r="AW301" s="238">
        <v>5875000</v>
      </c>
      <c r="AX301" s="238"/>
      <c r="AY301" s="238">
        <v>117500000</v>
      </c>
      <c r="AZ301" s="238">
        <v>51086956.521739103</v>
      </c>
      <c r="BA301" s="238"/>
      <c r="BB301" s="238">
        <v>2.5000000000000001E-2</v>
      </c>
      <c r="BC301" s="238"/>
      <c r="BD301" s="238"/>
      <c r="BE301" s="238"/>
    </row>
    <row r="302" spans="1:57">
      <c r="A302" s="237" t="s">
        <v>770</v>
      </c>
      <c r="B302" s="237" t="s">
        <v>445</v>
      </c>
      <c r="C302" s="237">
        <v>2011</v>
      </c>
      <c r="D302" s="237"/>
      <c r="E302" s="237">
        <v>2011</v>
      </c>
      <c r="F302" s="237" t="s">
        <v>27</v>
      </c>
      <c r="G302" s="237" t="s">
        <v>224</v>
      </c>
      <c r="H302" s="237">
        <v>2300</v>
      </c>
      <c r="I302" s="237">
        <v>1</v>
      </c>
      <c r="J302" s="237" t="s">
        <v>529</v>
      </c>
      <c r="K302" s="237"/>
      <c r="L302" s="237" t="s">
        <v>24</v>
      </c>
      <c r="M302" s="237"/>
      <c r="N302" s="237">
        <v>4.51</v>
      </c>
      <c r="O302" s="237"/>
      <c r="P302" s="237">
        <v>1.25</v>
      </c>
      <c r="Q302" s="237"/>
      <c r="R302" s="237"/>
      <c r="S302" s="237"/>
      <c r="T302" s="237"/>
      <c r="U302" s="237">
        <v>20</v>
      </c>
      <c r="V302" s="237"/>
      <c r="W302" s="237"/>
      <c r="X302" s="237"/>
      <c r="Y302" s="237"/>
      <c r="Z302" s="237"/>
      <c r="AA302" s="237"/>
      <c r="AB302" s="237"/>
      <c r="AC302" s="237">
        <v>0.39</v>
      </c>
      <c r="AD302" s="237" t="s">
        <v>464</v>
      </c>
      <c r="AE302" s="237"/>
      <c r="AF302" s="237">
        <v>0.36480047599999998</v>
      </c>
      <c r="AG302" s="237">
        <v>2300</v>
      </c>
      <c r="AH302" s="237">
        <v>10368000</v>
      </c>
      <c r="AI302" s="237"/>
      <c r="AJ302" s="237"/>
      <c r="AK302" s="237" t="s">
        <v>769</v>
      </c>
      <c r="AL302" s="237" t="s">
        <v>597</v>
      </c>
      <c r="AM302" s="237">
        <v>227.632904</v>
      </c>
      <c r="AN302" s="237"/>
      <c r="AO302" s="237" t="s">
        <v>356</v>
      </c>
      <c r="AP302" s="237"/>
      <c r="AQ302" s="237">
        <v>2880000</v>
      </c>
      <c r="AR302" s="237"/>
      <c r="AS302" s="237"/>
      <c r="AT302" s="237"/>
      <c r="AU302" s="237"/>
      <c r="AV302" s="237"/>
      <c r="AW302" s="237">
        <v>7350000</v>
      </c>
      <c r="AX302" s="237"/>
      <c r="AY302" s="237">
        <v>147000000</v>
      </c>
      <c r="AZ302" s="237">
        <v>63913043.478260897</v>
      </c>
      <c r="BA302" s="237"/>
      <c r="BB302" s="237">
        <v>0.02</v>
      </c>
      <c r="BC302" s="237"/>
      <c r="BD302" s="237"/>
      <c r="BE302" s="237"/>
    </row>
    <row r="303" spans="1:57">
      <c r="A303" t="s">
        <v>704</v>
      </c>
      <c r="B303" t="s">
        <v>402</v>
      </c>
      <c r="C303">
        <v>2011</v>
      </c>
      <c r="E303">
        <v>2011</v>
      </c>
      <c r="G303" t="s">
        <v>19</v>
      </c>
      <c r="H303">
        <v>1250</v>
      </c>
      <c r="I303">
        <v>24</v>
      </c>
      <c r="L303" t="s">
        <v>24</v>
      </c>
      <c r="M303">
        <v>68</v>
      </c>
      <c r="N303">
        <v>7.37</v>
      </c>
      <c r="P303">
        <v>2.0499999999999998</v>
      </c>
      <c r="U303">
        <v>20</v>
      </c>
      <c r="X303">
        <v>21.28</v>
      </c>
      <c r="AC303">
        <v>0.94</v>
      </c>
      <c r="AE303">
        <v>64</v>
      </c>
      <c r="AF303">
        <v>0.25</v>
      </c>
      <c r="AG303">
        <v>30000</v>
      </c>
      <c r="AH303">
        <v>221000000</v>
      </c>
      <c r="AK303" t="s">
        <v>694</v>
      </c>
      <c r="AL303" t="s">
        <v>597</v>
      </c>
      <c r="AM303">
        <v>227.632904</v>
      </c>
      <c r="AO303" t="s">
        <v>340</v>
      </c>
      <c r="AW303">
        <v>65700000</v>
      </c>
      <c r="AY303">
        <v>1308000000</v>
      </c>
      <c r="AZ303">
        <v>43600000</v>
      </c>
      <c r="BB303">
        <v>0.05</v>
      </c>
      <c r="BD303">
        <v>2</v>
      </c>
    </row>
    <row r="304" spans="1:57">
      <c r="A304" t="s">
        <v>703</v>
      </c>
      <c r="B304" t="s">
        <v>403</v>
      </c>
      <c r="C304">
        <v>2011</v>
      </c>
      <c r="E304">
        <v>2011</v>
      </c>
      <c r="F304" t="s">
        <v>74</v>
      </c>
      <c r="G304" t="s">
        <v>19</v>
      </c>
      <c r="H304">
        <v>1250</v>
      </c>
      <c r="I304">
        <v>24</v>
      </c>
      <c r="L304" t="s">
        <v>24</v>
      </c>
      <c r="M304">
        <v>68</v>
      </c>
      <c r="N304">
        <v>7.37</v>
      </c>
      <c r="P304">
        <v>2.0499999999999998</v>
      </c>
      <c r="U304">
        <v>20</v>
      </c>
      <c r="X304">
        <v>21.3</v>
      </c>
      <c r="AC304">
        <v>0.94</v>
      </c>
      <c r="AE304">
        <v>64</v>
      </c>
      <c r="AF304">
        <v>0.24879999999999999</v>
      </c>
      <c r="AG304">
        <v>30000</v>
      </c>
      <c r="AH304">
        <v>221000000</v>
      </c>
      <c r="AK304" t="s">
        <v>694</v>
      </c>
      <c r="AL304" t="s">
        <v>597</v>
      </c>
      <c r="AM304">
        <v>227.632904</v>
      </c>
      <c r="AO304" t="s">
        <v>340</v>
      </c>
      <c r="AW304">
        <v>65384640</v>
      </c>
      <c r="AY304">
        <v>1307692800</v>
      </c>
      <c r="AZ304">
        <v>43589760</v>
      </c>
      <c r="BB304">
        <v>0.05</v>
      </c>
    </row>
    <row r="305" spans="1:57">
      <c r="A305" t="s">
        <v>697</v>
      </c>
      <c r="B305" t="s">
        <v>399</v>
      </c>
      <c r="C305">
        <v>2011</v>
      </c>
      <c r="E305">
        <v>2011</v>
      </c>
      <c r="F305" t="s">
        <v>27</v>
      </c>
      <c r="G305" t="s">
        <v>205</v>
      </c>
      <c r="H305">
        <v>3000</v>
      </c>
      <c r="I305">
        <v>33</v>
      </c>
      <c r="J305" t="s">
        <v>702</v>
      </c>
      <c r="L305" t="s">
        <v>24</v>
      </c>
      <c r="M305">
        <v>84</v>
      </c>
      <c r="N305">
        <v>9.1199999999999992</v>
      </c>
      <c r="P305">
        <v>2.5299999999999998</v>
      </c>
      <c r="U305">
        <v>20</v>
      </c>
      <c r="X305">
        <v>30</v>
      </c>
      <c r="AC305">
        <v>0.67</v>
      </c>
      <c r="AF305">
        <v>0.43359999999999999</v>
      </c>
      <c r="AG305">
        <v>99000</v>
      </c>
      <c r="AH305">
        <v>902546400</v>
      </c>
      <c r="AJ305">
        <v>0.28000000000000003</v>
      </c>
      <c r="AK305" t="s">
        <v>694</v>
      </c>
      <c r="AL305" t="s">
        <v>597</v>
      </c>
      <c r="AM305">
        <v>227.632904</v>
      </c>
      <c r="AO305" t="s">
        <v>356</v>
      </c>
      <c r="AS305">
        <v>253695000</v>
      </c>
      <c r="AU305">
        <v>2.56</v>
      </c>
      <c r="AW305">
        <v>376035264</v>
      </c>
      <c r="AY305">
        <v>7521220000</v>
      </c>
      <c r="AZ305">
        <v>75971919.191919193</v>
      </c>
      <c r="BB305">
        <v>0.03</v>
      </c>
    </row>
    <row r="306" spans="1:57">
      <c r="A306" t="s">
        <v>697</v>
      </c>
      <c r="B306" t="s">
        <v>399</v>
      </c>
      <c r="C306">
        <v>2011</v>
      </c>
      <c r="E306">
        <v>2011</v>
      </c>
      <c r="F306" t="s">
        <v>27</v>
      </c>
      <c r="G306" t="s">
        <v>205</v>
      </c>
      <c r="H306">
        <v>2000</v>
      </c>
      <c r="I306">
        <v>25</v>
      </c>
      <c r="J306" t="s">
        <v>700</v>
      </c>
      <c r="L306" t="s">
        <v>24</v>
      </c>
      <c r="M306">
        <v>80</v>
      </c>
      <c r="N306">
        <v>10.42</v>
      </c>
      <c r="P306">
        <v>2.89</v>
      </c>
      <c r="U306">
        <v>20</v>
      </c>
      <c r="X306">
        <v>28.57</v>
      </c>
      <c r="AC306">
        <v>0.7</v>
      </c>
      <c r="AF306">
        <v>0.47199999999999998</v>
      </c>
      <c r="AG306">
        <v>50000</v>
      </c>
      <c r="AH306">
        <v>520974720</v>
      </c>
      <c r="AK306" t="s">
        <v>694</v>
      </c>
      <c r="AL306" t="s">
        <v>597</v>
      </c>
      <c r="AM306">
        <v>227.632904</v>
      </c>
      <c r="AO306" t="s">
        <v>356</v>
      </c>
      <c r="AW306">
        <v>206736000</v>
      </c>
      <c r="AY306">
        <v>4134720000</v>
      </c>
      <c r="AZ306">
        <v>82694400</v>
      </c>
      <c r="BB306">
        <v>0.04</v>
      </c>
    </row>
    <row r="307" spans="1:57">
      <c r="A307" t="s">
        <v>697</v>
      </c>
      <c r="B307" t="s">
        <v>399</v>
      </c>
      <c r="C307">
        <v>2011</v>
      </c>
      <c r="E307">
        <v>2011</v>
      </c>
      <c r="F307" t="s">
        <v>27</v>
      </c>
      <c r="G307" t="s">
        <v>205</v>
      </c>
      <c r="H307">
        <v>2000</v>
      </c>
      <c r="I307">
        <v>25</v>
      </c>
      <c r="J307" t="s">
        <v>699</v>
      </c>
      <c r="L307" t="s">
        <v>24</v>
      </c>
      <c r="M307">
        <v>80</v>
      </c>
      <c r="N307">
        <v>10.7</v>
      </c>
      <c r="P307">
        <v>2.97</v>
      </c>
      <c r="U307">
        <v>20</v>
      </c>
      <c r="X307">
        <v>21.05</v>
      </c>
      <c r="AC307">
        <v>0.95</v>
      </c>
      <c r="AF307">
        <v>0.35709999999999997</v>
      </c>
      <c r="AG307">
        <v>50000</v>
      </c>
      <c r="AH307">
        <v>535059000</v>
      </c>
      <c r="AK307" t="s">
        <v>694</v>
      </c>
      <c r="AL307" t="s">
        <v>597</v>
      </c>
      <c r="AM307">
        <v>227.632904</v>
      </c>
      <c r="AO307" t="s">
        <v>356</v>
      </c>
      <c r="AW307">
        <v>156409800</v>
      </c>
      <c r="AY307">
        <v>3129000000</v>
      </c>
      <c r="AZ307">
        <v>62580000</v>
      </c>
      <c r="BB307">
        <v>0.05</v>
      </c>
    </row>
    <row r="308" spans="1:57">
      <c r="A308" t="s">
        <v>697</v>
      </c>
      <c r="B308" t="s">
        <v>399</v>
      </c>
      <c r="C308">
        <v>2011</v>
      </c>
      <c r="E308">
        <v>2011</v>
      </c>
      <c r="F308" t="s">
        <v>27</v>
      </c>
      <c r="G308" t="s">
        <v>205</v>
      </c>
      <c r="H308">
        <v>1800</v>
      </c>
      <c r="I308">
        <v>28</v>
      </c>
      <c r="J308" t="s">
        <v>696</v>
      </c>
      <c r="N308">
        <v>11.85</v>
      </c>
      <c r="P308">
        <v>3.29</v>
      </c>
      <c r="U308">
        <v>20</v>
      </c>
      <c r="X308">
        <v>22.64</v>
      </c>
      <c r="AC308">
        <v>0.88</v>
      </c>
      <c r="AF308">
        <v>0.42536421000000002</v>
      </c>
      <c r="AG308">
        <v>50400</v>
      </c>
      <c r="AH308">
        <v>597204000</v>
      </c>
      <c r="AK308" t="s">
        <v>694</v>
      </c>
      <c r="AL308" t="s">
        <v>597</v>
      </c>
      <c r="AM308">
        <v>227.632904</v>
      </c>
      <c r="AO308" t="s">
        <v>356</v>
      </c>
      <c r="AW308">
        <v>187800000</v>
      </c>
      <c r="AY308">
        <v>3756000000</v>
      </c>
      <c r="AZ308">
        <v>74523809.523809493</v>
      </c>
      <c r="BB308">
        <v>0.04</v>
      </c>
    </row>
    <row r="309" spans="1:57">
      <c r="A309" t="s">
        <v>651</v>
      </c>
      <c r="B309" t="s">
        <v>413</v>
      </c>
      <c r="C309">
        <v>2011</v>
      </c>
      <c r="E309">
        <v>2011</v>
      </c>
      <c r="G309" t="s">
        <v>212</v>
      </c>
      <c r="H309">
        <v>5000</v>
      </c>
      <c r="I309">
        <v>12</v>
      </c>
      <c r="J309" t="s">
        <v>695</v>
      </c>
      <c r="L309" t="s">
        <v>31</v>
      </c>
      <c r="N309">
        <v>38.33</v>
      </c>
      <c r="P309">
        <v>10.65</v>
      </c>
      <c r="U309">
        <v>20</v>
      </c>
      <c r="X309">
        <v>7.33</v>
      </c>
      <c r="AC309">
        <v>2.73</v>
      </c>
      <c r="AF309">
        <v>0.44519999999999998</v>
      </c>
      <c r="AG309">
        <v>60000</v>
      </c>
      <c r="AH309">
        <v>2300000000</v>
      </c>
      <c r="AK309" t="s">
        <v>694</v>
      </c>
      <c r="AL309" t="s">
        <v>597</v>
      </c>
      <c r="AM309">
        <v>227.632904</v>
      </c>
      <c r="AO309" t="s">
        <v>340</v>
      </c>
      <c r="AW309">
        <v>233997120</v>
      </c>
      <c r="AY309">
        <v>4680000000</v>
      </c>
      <c r="AZ309">
        <v>78000000</v>
      </c>
      <c r="BB309">
        <v>0.14000000000000001</v>
      </c>
    </row>
    <row r="310" spans="1:57">
      <c r="A310" t="s">
        <v>652</v>
      </c>
      <c r="B310" t="s">
        <v>541</v>
      </c>
      <c r="C310">
        <v>2011</v>
      </c>
      <c r="E310">
        <v>2011</v>
      </c>
      <c r="H310">
        <v>2500</v>
      </c>
      <c r="I310">
        <v>1</v>
      </c>
      <c r="J310" t="s">
        <v>545</v>
      </c>
      <c r="L310" t="s">
        <v>24</v>
      </c>
      <c r="N310">
        <v>5.89</v>
      </c>
      <c r="Q310">
        <v>1555776</v>
      </c>
      <c r="S310">
        <v>0.62</v>
      </c>
      <c r="U310">
        <v>20</v>
      </c>
      <c r="X310">
        <v>25.71</v>
      </c>
      <c r="Z310">
        <v>0.14000000000000001</v>
      </c>
      <c r="AF310">
        <v>0.24</v>
      </c>
      <c r="AG310">
        <v>2500</v>
      </c>
      <c r="AH310">
        <v>14716800</v>
      </c>
      <c r="AK310" t="s">
        <v>643</v>
      </c>
      <c r="AL310" t="s">
        <v>597</v>
      </c>
      <c r="AM310">
        <v>227.632904</v>
      </c>
      <c r="AQ310">
        <v>4088000</v>
      </c>
      <c r="AW310">
        <v>5256000</v>
      </c>
      <c r="AY310">
        <v>105120000</v>
      </c>
      <c r="AZ310">
        <v>42048000</v>
      </c>
      <c r="BB310">
        <v>0.04</v>
      </c>
      <c r="BD310">
        <v>14.8</v>
      </c>
    </row>
    <row r="311" spans="1:57">
      <c r="A311" t="s">
        <v>652</v>
      </c>
      <c r="B311" t="s">
        <v>541</v>
      </c>
      <c r="C311">
        <v>2011</v>
      </c>
      <c r="E311">
        <v>2011</v>
      </c>
      <c r="H311">
        <v>2500</v>
      </c>
      <c r="I311">
        <v>1</v>
      </c>
      <c r="J311" t="s">
        <v>545</v>
      </c>
      <c r="L311" t="s">
        <v>31</v>
      </c>
      <c r="N311">
        <v>12.48</v>
      </c>
      <c r="Q311">
        <v>2559015</v>
      </c>
      <c r="S311">
        <v>1.02</v>
      </c>
      <c r="U311">
        <v>25</v>
      </c>
      <c r="X311">
        <v>24</v>
      </c>
      <c r="Z311">
        <v>0.15</v>
      </c>
      <c r="AF311">
        <v>0.38</v>
      </c>
      <c r="AG311">
        <v>2500</v>
      </c>
      <c r="AH311">
        <v>31207500</v>
      </c>
      <c r="AK311" t="s">
        <v>643</v>
      </c>
      <c r="AL311" t="s">
        <v>597</v>
      </c>
      <c r="AM311">
        <v>227.632904</v>
      </c>
      <c r="AN311" t="s">
        <v>560</v>
      </c>
      <c r="AQ311">
        <v>8668750</v>
      </c>
      <c r="AW311">
        <v>8322000</v>
      </c>
      <c r="AY311">
        <v>208050000</v>
      </c>
      <c r="AZ311">
        <v>83220000</v>
      </c>
      <c r="BB311">
        <v>0.04</v>
      </c>
      <c r="BD311">
        <v>12.3</v>
      </c>
    </row>
    <row r="312" spans="1:57">
      <c r="A312" t="s">
        <v>651</v>
      </c>
      <c r="B312" t="s">
        <v>413</v>
      </c>
      <c r="C312">
        <v>2011</v>
      </c>
      <c r="E312">
        <v>2011</v>
      </c>
      <c r="H312">
        <v>5000</v>
      </c>
      <c r="I312">
        <v>1</v>
      </c>
      <c r="J312" t="s">
        <v>545</v>
      </c>
      <c r="L312" t="s">
        <v>31</v>
      </c>
      <c r="Q312">
        <v>12614400</v>
      </c>
      <c r="S312">
        <v>2.52</v>
      </c>
      <c r="U312">
        <v>20</v>
      </c>
      <c r="AF312">
        <v>0.45</v>
      </c>
      <c r="AG312">
        <v>5000</v>
      </c>
      <c r="AK312" t="s">
        <v>643</v>
      </c>
      <c r="AL312" t="s">
        <v>597</v>
      </c>
      <c r="AM312">
        <v>227.632904</v>
      </c>
      <c r="AW312">
        <v>19710000</v>
      </c>
      <c r="AY312">
        <v>394200000</v>
      </c>
      <c r="AZ312">
        <v>78840000</v>
      </c>
      <c r="BD312">
        <v>32</v>
      </c>
    </row>
    <row r="313" spans="1:57">
      <c r="A313" t="s">
        <v>650</v>
      </c>
      <c r="B313" t="s">
        <v>542</v>
      </c>
      <c r="C313">
        <v>2011</v>
      </c>
      <c r="E313">
        <v>2011</v>
      </c>
      <c r="H313">
        <v>600</v>
      </c>
      <c r="I313">
        <v>1</v>
      </c>
      <c r="J313" t="s">
        <v>545</v>
      </c>
      <c r="L313" t="s">
        <v>24</v>
      </c>
      <c r="N313">
        <v>3.94</v>
      </c>
      <c r="U313">
        <v>20</v>
      </c>
      <c r="X313">
        <v>40</v>
      </c>
      <c r="Z313">
        <v>0.09</v>
      </c>
      <c r="AF313">
        <v>0.25</v>
      </c>
      <c r="AG313">
        <v>600</v>
      </c>
      <c r="AH313">
        <v>2365200</v>
      </c>
      <c r="AK313" t="s">
        <v>643</v>
      </c>
      <c r="AL313" t="s">
        <v>597</v>
      </c>
      <c r="AM313">
        <v>227.632904</v>
      </c>
      <c r="AQ313">
        <v>657000</v>
      </c>
      <c r="AW313">
        <v>1314000</v>
      </c>
      <c r="AY313">
        <v>26280000</v>
      </c>
      <c r="AZ313">
        <v>43800000</v>
      </c>
      <c r="BB313">
        <v>0.03</v>
      </c>
    </row>
    <row r="314" spans="1:57">
      <c r="A314" t="s">
        <v>649</v>
      </c>
      <c r="B314" t="s">
        <v>532</v>
      </c>
      <c r="C314">
        <v>2011</v>
      </c>
      <c r="E314">
        <v>2011</v>
      </c>
      <c r="H314">
        <v>2000</v>
      </c>
      <c r="I314">
        <v>1</v>
      </c>
      <c r="J314" t="s">
        <v>545</v>
      </c>
      <c r="L314" t="s">
        <v>24</v>
      </c>
      <c r="Q314">
        <v>936059</v>
      </c>
      <c r="S314">
        <v>0.47</v>
      </c>
      <c r="U314">
        <v>20</v>
      </c>
      <c r="AE314">
        <v>80</v>
      </c>
      <c r="AF314">
        <v>0.38</v>
      </c>
      <c r="AG314">
        <v>2000</v>
      </c>
      <c r="AK314" t="s">
        <v>643</v>
      </c>
      <c r="AL314" t="s">
        <v>597</v>
      </c>
      <c r="AM314">
        <v>227.632904</v>
      </c>
      <c r="AW314">
        <v>6657600</v>
      </c>
      <c r="AY314">
        <v>133152000</v>
      </c>
      <c r="AZ314">
        <v>66576000</v>
      </c>
      <c r="BD314">
        <v>7.03</v>
      </c>
    </row>
    <row r="315" spans="1:57">
      <c r="A315" t="s">
        <v>649</v>
      </c>
      <c r="B315" t="s">
        <v>532</v>
      </c>
      <c r="C315">
        <v>2011</v>
      </c>
      <c r="E315">
        <v>2011</v>
      </c>
      <c r="H315">
        <v>2000</v>
      </c>
      <c r="I315">
        <v>1</v>
      </c>
      <c r="J315" t="s">
        <v>545</v>
      </c>
      <c r="L315" t="s">
        <v>24</v>
      </c>
      <c r="N315">
        <v>580.26</v>
      </c>
      <c r="Q315">
        <v>1223597</v>
      </c>
      <c r="S315">
        <v>0.61</v>
      </c>
      <c r="U315">
        <v>20</v>
      </c>
      <c r="X315">
        <v>0.39</v>
      </c>
      <c r="Z315">
        <v>9.1999999999999993</v>
      </c>
      <c r="AE315">
        <v>90</v>
      </c>
      <c r="AF315">
        <v>0.36</v>
      </c>
      <c r="AG315">
        <v>2000</v>
      </c>
      <c r="AH315">
        <v>1160524800</v>
      </c>
      <c r="AK315" t="s">
        <v>643</v>
      </c>
      <c r="AL315" t="s">
        <v>597</v>
      </c>
      <c r="AM315">
        <v>227.632904</v>
      </c>
      <c r="AQ315">
        <v>322368000</v>
      </c>
      <c r="AW315">
        <v>6307200</v>
      </c>
      <c r="AY315">
        <v>126144000</v>
      </c>
      <c r="AZ315">
        <v>63072000</v>
      </c>
      <c r="BB315">
        <v>2.56</v>
      </c>
      <c r="BD315">
        <v>9.6999999999999993</v>
      </c>
    </row>
    <row r="316" spans="1:57">
      <c r="A316" t="s">
        <v>649</v>
      </c>
      <c r="B316" t="s">
        <v>532</v>
      </c>
      <c r="C316">
        <v>2011</v>
      </c>
      <c r="E316">
        <v>2011</v>
      </c>
      <c r="H316">
        <v>1800</v>
      </c>
      <c r="I316">
        <v>1</v>
      </c>
      <c r="J316" t="s">
        <v>545</v>
      </c>
      <c r="L316" t="s">
        <v>24</v>
      </c>
      <c r="N316">
        <v>195.87</v>
      </c>
      <c r="Q316">
        <v>1261125</v>
      </c>
      <c r="S316">
        <v>0.7</v>
      </c>
      <c r="U316">
        <v>20</v>
      </c>
      <c r="X316">
        <v>1.38</v>
      </c>
      <c r="Z316">
        <v>2.6</v>
      </c>
      <c r="AE316">
        <v>100</v>
      </c>
      <c r="AF316">
        <v>0.43</v>
      </c>
      <c r="AG316">
        <v>1800</v>
      </c>
      <c r="AH316">
        <v>352572480</v>
      </c>
      <c r="AK316" t="s">
        <v>643</v>
      </c>
      <c r="AL316" t="s">
        <v>597</v>
      </c>
      <c r="AM316">
        <v>227.632904</v>
      </c>
      <c r="AQ316">
        <v>97936800</v>
      </c>
      <c r="AW316">
        <v>6780240</v>
      </c>
      <c r="AY316">
        <v>135604800</v>
      </c>
      <c r="AZ316">
        <v>75336000</v>
      </c>
      <c r="BB316">
        <v>0.72</v>
      </c>
      <c r="BD316">
        <v>9.3000000000000007</v>
      </c>
    </row>
    <row r="317" spans="1:57">
      <c r="A317" t="s">
        <v>649</v>
      </c>
      <c r="B317" t="s">
        <v>532</v>
      </c>
      <c r="C317">
        <v>2011</v>
      </c>
      <c r="E317">
        <v>2011</v>
      </c>
      <c r="H317">
        <v>3000</v>
      </c>
      <c r="I317">
        <v>1</v>
      </c>
      <c r="J317" t="s">
        <v>545</v>
      </c>
      <c r="L317" t="s">
        <v>24</v>
      </c>
      <c r="N317">
        <v>77.44</v>
      </c>
      <c r="Q317">
        <v>956592</v>
      </c>
      <c r="S317">
        <v>0.32</v>
      </c>
      <c r="U317">
        <v>20</v>
      </c>
      <c r="X317">
        <v>2.12</v>
      </c>
      <c r="Z317">
        <v>1.7</v>
      </c>
      <c r="AE317">
        <v>112</v>
      </c>
      <c r="AF317">
        <v>0.26</v>
      </c>
      <c r="AG317">
        <v>3000</v>
      </c>
      <c r="AH317">
        <v>232315200</v>
      </c>
      <c r="AK317" t="s">
        <v>643</v>
      </c>
      <c r="AL317" t="s">
        <v>597</v>
      </c>
      <c r="AM317">
        <v>227.632904</v>
      </c>
      <c r="AQ317">
        <v>64532000</v>
      </c>
      <c r="AW317">
        <v>6832800</v>
      </c>
      <c r="AY317">
        <v>136656000</v>
      </c>
      <c r="AZ317">
        <v>45552000</v>
      </c>
      <c r="BB317">
        <v>0.47</v>
      </c>
      <c r="BD317">
        <v>7</v>
      </c>
    </row>
    <row r="318" spans="1:57">
      <c r="A318" t="s">
        <v>648</v>
      </c>
      <c r="B318" t="s">
        <v>543</v>
      </c>
      <c r="C318">
        <v>2011</v>
      </c>
      <c r="E318">
        <v>2011</v>
      </c>
      <c r="H318">
        <v>10000</v>
      </c>
      <c r="I318">
        <v>1</v>
      </c>
      <c r="J318" t="s">
        <v>548</v>
      </c>
      <c r="L318" t="s">
        <v>31</v>
      </c>
      <c r="N318">
        <v>250.19</v>
      </c>
      <c r="U318">
        <v>20</v>
      </c>
      <c r="X318">
        <v>0.86</v>
      </c>
      <c r="Z318">
        <v>4.2</v>
      </c>
      <c r="AF318">
        <v>0.34</v>
      </c>
      <c r="AG318">
        <v>10000</v>
      </c>
      <c r="AH318">
        <v>2501856000</v>
      </c>
      <c r="AK318" t="s">
        <v>643</v>
      </c>
      <c r="AL318" t="s">
        <v>597</v>
      </c>
      <c r="AM318">
        <v>227.632904</v>
      </c>
      <c r="AQ318">
        <v>694960000</v>
      </c>
      <c r="AW318">
        <v>29784000</v>
      </c>
      <c r="AY318">
        <v>595680000</v>
      </c>
      <c r="AZ318">
        <v>59568000</v>
      </c>
      <c r="BB318">
        <v>1.17</v>
      </c>
    </row>
    <row r="319" spans="1:57">
      <c r="A319" s="238" t="s">
        <v>655</v>
      </c>
      <c r="B319" s="238" t="s">
        <v>397</v>
      </c>
      <c r="C319" s="238">
        <v>2012</v>
      </c>
      <c r="D319" s="238"/>
      <c r="E319" s="238">
        <v>2012</v>
      </c>
      <c r="F319" s="238" t="s">
        <v>27</v>
      </c>
      <c r="G319" s="238"/>
      <c r="H319" s="238">
        <v>1800</v>
      </c>
      <c r="I319" s="238">
        <v>1</v>
      </c>
      <c r="J319" s="238" t="s">
        <v>471</v>
      </c>
      <c r="K319" s="238"/>
      <c r="L319" s="238" t="s">
        <v>24</v>
      </c>
      <c r="M319" s="238">
        <v>105</v>
      </c>
      <c r="N319" s="238">
        <v>7.82</v>
      </c>
      <c r="O319" s="238"/>
      <c r="P319" s="238">
        <v>2.17</v>
      </c>
      <c r="Q319" s="238"/>
      <c r="R319" s="238"/>
      <c r="S319" s="238"/>
      <c r="T319" s="238"/>
      <c r="U319" s="238">
        <v>20</v>
      </c>
      <c r="V319" s="238"/>
      <c r="W319" s="238"/>
      <c r="X319" s="238"/>
      <c r="Y319" s="238"/>
      <c r="Z319" s="238"/>
      <c r="AA319" s="238"/>
      <c r="AB319" s="238"/>
      <c r="AC319" s="238">
        <v>1.2</v>
      </c>
      <c r="AD319" s="238" t="s">
        <v>22</v>
      </c>
      <c r="AE319" s="238">
        <v>90</v>
      </c>
      <c r="AF319" s="238">
        <v>0.20738203999999999</v>
      </c>
      <c r="AG319" s="238">
        <v>1800</v>
      </c>
      <c r="AH319" s="238">
        <v>14076000</v>
      </c>
      <c r="AI319" s="238"/>
      <c r="AJ319" s="238"/>
      <c r="AK319" s="238" t="s">
        <v>769</v>
      </c>
      <c r="AL319" s="238" t="s">
        <v>597</v>
      </c>
      <c r="AM319" s="238">
        <v>270.84683749999999</v>
      </c>
      <c r="AN319" s="238"/>
      <c r="AO319" s="238" t="s">
        <v>340</v>
      </c>
      <c r="AP319" s="238"/>
      <c r="AQ319" s="238">
        <v>3910000</v>
      </c>
      <c r="AR319" s="238"/>
      <c r="AS319" s="238"/>
      <c r="AT319" s="238"/>
      <c r="AU319" s="238"/>
      <c r="AV319" s="238"/>
      <c r="AW319" s="238">
        <v>3270000</v>
      </c>
      <c r="AX319" s="238"/>
      <c r="AY319" s="238">
        <v>65400000</v>
      </c>
      <c r="AZ319" s="238">
        <v>36333333.333333299</v>
      </c>
      <c r="BA319" s="238"/>
      <c r="BB319" s="238">
        <v>0.06</v>
      </c>
      <c r="BC319" s="238"/>
      <c r="BD319" s="238"/>
      <c r="BE319" s="238"/>
    </row>
    <row r="320" spans="1:57">
      <c r="A320" s="237" t="s">
        <v>655</v>
      </c>
      <c r="B320" s="237" t="s">
        <v>397</v>
      </c>
      <c r="C320" s="237">
        <v>2012</v>
      </c>
      <c r="D320" s="237"/>
      <c r="E320" s="237">
        <v>2012</v>
      </c>
      <c r="F320" s="237" t="s">
        <v>27</v>
      </c>
      <c r="G320" s="237"/>
      <c r="H320" s="237">
        <v>2000</v>
      </c>
      <c r="I320" s="237">
        <v>1</v>
      </c>
      <c r="J320" s="237" t="s">
        <v>472</v>
      </c>
      <c r="K320" s="237"/>
      <c r="L320" s="237" t="s">
        <v>24</v>
      </c>
      <c r="M320" s="237">
        <v>65</v>
      </c>
      <c r="N320" s="237">
        <v>3.8</v>
      </c>
      <c r="O320" s="237"/>
      <c r="P320" s="237">
        <v>1.06</v>
      </c>
      <c r="Q320" s="237"/>
      <c r="R320" s="237"/>
      <c r="S320" s="237"/>
      <c r="T320" s="237"/>
      <c r="U320" s="237">
        <v>20</v>
      </c>
      <c r="V320" s="237"/>
      <c r="W320" s="237"/>
      <c r="X320" s="237"/>
      <c r="Y320" s="237"/>
      <c r="Z320" s="237"/>
      <c r="AA320" s="237"/>
      <c r="AB320" s="237"/>
      <c r="AC320" s="237">
        <v>0.35</v>
      </c>
      <c r="AD320" s="237" t="s">
        <v>22</v>
      </c>
      <c r="AE320" s="237">
        <v>70</v>
      </c>
      <c r="AF320" s="237">
        <v>0.34132420099999999</v>
      </c>
      <c r="AG320" s="237">
        <v>2000</v>
      </c>
      <c r="AH320" s="237">
        <v>7596000</v>
      </c>
      <c r="AI320" s="237"/>
      <c r="AJ320" s="237"/>
      <c r="AK320" s="237" t="s">
        <v>769</v>
      </c>
      <c r="AL320" s="237" t="s">
        <v>597</v>
      </c>
      <c r="AM320" s="237">
        <v>270.84683749999999</v>
      </c>
      <c r="AN320" s="237"/>
      <c r="AO320" s="237" t="s">
        <v>356</v>
      </c>
      <c r="AP320" s="237"/>
      <c r="AQ320" s="237">
        <v>2110000</v>
      </c>
      <c r="AR320" s="237"/>
      <c r="AS320" s="237"/>
      <c r="AT320" s="237"/>
      <c r="AU320" s="237"/>
      <c r="AV320" s="237"/>
      <c r="AW320" s="237">
        <v>5980000</v>
      </c>
      <c r="AX320" s="237"/>
      <c r="AY320" s="237">
        <v>119600000</v>
      </c>
      <c r="AZ320" s="237">
        <v>59800000</v>
      </c>
      <c r="BA320" s="237"/>
      <c r="BB320" s="237">
        <v>1.7999999999999999E-2</v>
      </c>
      <c r="BC320" s="237"/>
      <c r="BD320" s="237"/>
      <c r="BE320" s="237"/>
    </row>
    <row r="321" spans="1:57">
      <c r="A321" s="238" t="s">
        <v>654</v>
      </c>
      <c r="B321" s="238" t="s">
        <v>401</v>
      </c>
      <c r="C321" s="238">
        <v>2012</v>
      </c>
      <c r="D321" s="238"/>
      <c r="E321" s="238">
        <v>2012</v>
      </c>
      <c r="F321" s="238" t="s">
        <v>27</v>
      </c>
      <c r="G321" s="238" t="s">
        <v>119</v>
      </c>
      <c r="H321" s="238">
        <v>5</v>
      </c>
      <c r="I321" s="238">
        <v>20</v>
      </c>
      <c r="J321" s="238" t="s">
        <v>473</v>
      </c>
      <c r="K321" s="238"/>
      <c r="L321" s="238" t="s">
        <v>24</v>
      </c>
      <c r="M321" s="238">
        <v>36</v>
      </c>
      <c r="N321" s="238">
        <v>77.900000000000006</v>
      </c>
      <c r="O321" s="238"/>
      <c r="P321" s="238">
        <v>21.64</v>
      </c>
      <c r="Q321" s="238"/>
      <c r="R321" s="238"/>
      <c r="S321" s="238"/>
      <c r="T321" s="238"/>
      <c r="U321" s="238">
        <v>25</v>
      </c>
      <c r="V321" s="238"/>
      <c r="W321" s="238"/>
      <c r="X321" s="238"/>
      <c r="Y321" s="238"/>
      <c r="Z321" s="238"/>
      <c r="AA321" s="238"/>
      <c r="AB321" s="238"/>
      <c r="AC321" s="238">
        <v>10.61</v>
      </c>
      <c r="AD321" s="238" t="s">
        <v>22</v>
      </c>
      <c r="AE321" s="238">
        <v>5.5</v>
      </c>
      <c r="AF321" s="238">
        <v>0.23287671200000001</v>
      </c>
      <c r="AG321" s="238">
        <v>100</v>
      </c>
      <c r="AH321" s="238">
        <v>7790148</v>
      </c>
      <c r="AI321" s="238"/>
      <c r="AJ321" s="238"/>
      <c r="AK321" s="238" t="s">
        <v>769</v>
      </c>
      <c r="AL321" s="238" t="s">
        <v>597</v>
      </c>
      <c r="AM321" s="238">
        <v>270.84683749999999</v>
      </c>
      <c r="AN321" s="238"/>
      <c r="AO321" s="238" t="s">
        <v>356</v>
      </c>
      <c r="AP321" s="238"/>
      <c r="AQ321" s="238">
        <v>2163930</v>
      </c>
      <c r="AR321" s="238"/>
      <c r="AS321" s="238"/>
      <c r="AT321" s="238"/>
      <c r="AU321" s="238"/>
      <c r="AV321" s="238"/>
      <c r="AW321" s="238">
        <v>204000</v>
      </c>
      <c r="AX321" s="238"/>
      <c r="AY321" s="238">
        <v>5100000</v>
      </c>
      <c r="AZ321" s="238">
        <v>51000000</v>
      </c>
      <c r="BA321" s="238"/>
      <c r="BB321" s="238">
        <v>0.42399999999999999</v>
      </c>
      <c r="BC321" s="238"/>
      <c r="BD321" s="238"/>
      <c r="BE321" s="238"/>
    </row>
    <row r="322" spans="1:57">
      <c r="A322" s="237" t="s">
        <v>654</v>
      </c>
      <c r="B322" s="237" t="s">
        <v>401</v>
      </c>
      <c r="C322" s="237">
        <v>2012</v>
      </c>
      <c r="D322" s="237"/>
      <c r="E322" s="237">
        <v>2012</v>
      </c>
      <c r="F322" s="237" t="s">
        <v>27</v>
      </c>
      <c r="G322" s="237" t="s">
        <v>119</v>
      </c>
      <c r="H322" s="237">
        <v>20</v>
      </c>
      <c r="I322" s="237">
        <v>5</v>
      </c>
      <c r="J322" s="237" t="s">
        <v>474</v>
      </c>
      <c r="K322" s="237"/>
      <c r="L322" s="237" t="s">
        <v>24</v>
      </c>
      <c r="M322" s="237">
        <v>36</v>
      </c>
      <c r="N322" s="237">
        <v>39.07</v>
      </c>
      <c r="O322" s="237"/>
      <c r="P322" s="237">
        <v>10.85</v>
      </c>
      <c r="Q322" s="237"/>
      <c r="R322" s="237"/>
      <c r="S322" s="237"/>
      <c r="T322" s="237"/>
      <c r="U322" s="237">
        <v>25</v>
      </c>
      <c r="V322" s="237"/>
      <c r="W322" s="237"/>
      <c r="X322" s="237"/>
      <c r="Y322" s="237"/>
      <c r="Z322" s="237"/>
      <c r="AA322" s="237"/>
      <c r="AB322" s="237"/>
      <c r="AC322" s="237">
        <v>5.54</v>
      </c>
      <c r="AD322" s="237" t="s">
        <v>22</v>
      </c>
      <c r="AE322" s="237">
        <v>9.4499999999999993</v>
      </c>
      <c r="AF322" s="237">
        <v>0.22374429200000001</v>
      </c>
      <c r="AG322" s="237">
        <v>100</v>
      </c>
      <c r="AH322" s="237">
        <v>3907260</v>
      </c>
      <c r="AI322" s="237"/>
      <c r="AJ322" s="237"/>
      <c r="AK322" s="237" t="s">
        <v>769</v>
      </c>
      <c r="AL322" s="237" t="s">
        <v>597</v>
      </c>
      <c r="AM322" s="237">
        <v>270.84683749999999</v>
      </c>
      <c r="AN322" s="237"/>
      <c r="AO322" s="237" t="s">
        <v>356</v>
      </c>
      <c r="AP322" s="237"/>
      <c r="AQ322" s="237">
        <v>1085350</v>
      </c>
      <c r="AR322" s="237"/>
      <c r="AS322" s="237"/>
      <c r="AT322" s="237"/>
      <c r="AU322" s="237"/>
      <c r="AV322" s="237"/>
      <c r="AW322" s="237">
        <v>196000</v>
      </c>
      <c r="AX322" s="237"/>
      <c r="AY322" s="237">
        <v>4900000</v>
      </c>
      <c r="AZ322" s="237">
        <v>49000000</v>
      </c>
      <c r="BA322" s="237"/>
      <c r="BB322" s="237">
        <v>0.222</v>
      </c>
      <c r="BC322" s="237"/>
      <c r="BD322" s="237"/>
      <c r="BE322" s="237"/>
    </row>
    <row r="323" spans="1:57">
      <c r="A323" s="238" t="s">
        <v>654</v>
      </c>
      <c r="B323" s="238" t="s">
        <v>401</v>
      </c>
      <c r="C323" s="238">
        <v>2012</v>
      </c>
      <c r="D323" s="238"/>
      <c r="E323" s="238">
        <v>2012</v>
      </c>
      <c r="F323" s="238" t="s">
        <v>27</v>
      </c>
      <c r="G323" s="238" t="s">
        <v>119</v>
      </c>
      <c r="H323" s="238">
        <v>100</v>
      </c>
      <c r="I323" s="238">
        <v>1</v>
      </c>
      <c r="J323" s="238" t="s">
        <v>475</v>
      </c>
      <c r="K323" s="238"/>
      <c r="L323" s="238" t="s">
        <v>24</v>
      </c>
      <c r="M323" s="238">
        <v>37</v>
      </c>
      <c r="N323" s="238">
        <v>25.43</v>
      </c>
      <c r="O323" s="238"/>
      <c r="P323" s="238">
        <v>7.06</v>
      </c>
      <c r="Q323" s="238"/>
      <c r="R323" s="238"/>
      <c r="S323" s="238"/>
      <c r="T323" s="238"/>
      <c r="U323" s="238">
        <v>25</v>
      </c>
      <c r="V323" s="238"/>
      <c r="W323" s="238"/>
      <c r="X323" s="238"/>
      <c r="Y323" s="238"/>
      <c r="Z323" s="238"/>
      <c r="AA323" s="238"/>
      <c r="AB323" s="238"/>
      <c r="AC323" s="238">
        <v>3.33</v>
      </c>
      <c r="AD323" s="238" t="s">
        <v>22</v>
      </c>
      <c r="AE323" s="238">
        <v>21</v>
      </c>
      <c r="AF323" s="238">
        <v>0.24200913199999999</v>
      </c>
      <c r="AG323" s="238">
        <v>100</v>
      </c>
      <c r="AH323" s="238">
        <v>2543364</v>
      </c>
      <c r="AI323" s="238"/>
      <c r="AJ323" s="238"/>
      <c r="AK323" s="238" t="s">
        <v>769</v>
      </c>
      <c r="AL323" s="238" t="s">
        <v>597</v>
      </c>
      <c r="AM323" s="238">
        <v>270.84683749999999</v>
      </c>
      <c r="AN323" s="238"/>
      <c r="AO323" s="238" t="s">
        <v>356</v>
      </c>
      <c r="AP323" s="238"/>
      <c r="AQ323" s="238">
        <v>706490</v>
      </c>
      <c r="AR323" s="238"/>
      <c r="AS323" s="238"/>
      <c r="AT323" s="238"/>
      <c r="AU323" s="238"/>
      <c r="AV323" s="238"/>
      <c r="AW323" s="238">
        <v>212000</v>
      </c>
      <c r="AX323" s="238"/>
      <c r="AY323" s="238">
        <v>5300000</v>
      </c>
      <c r="AZ323" s="238">
        <v>53000000</v>
      </c>
      <c r="BA323" s="238"/>
      <c r="BB323" s="238">
        <v>0.13300000000000001</v>
      </c>
      <c r="BC323" s="238"/>
      <c r="BD323" s="238"/>
      <c r="BE323" s="238"/>
    </row>
    <row r="324" spans="1:57">
      <c r="A324" s="238" t="s">
        <v>783</v>
      </c>
      <c r="B324" s="238" t="s">
        <v>499</v>
      </c>
      <c r="C324" s="238">
        <v>2012</v>
      </c>
      <c r="D324" s="238"/>
      <c r="E324" s="238">
        <v>2012</v>
      </c>
      <c r="F324" s="238" t="s">
        <v>27</v>
      </c>
      <c r="G324" s="238" t="s">
        <v>30</v>
      </c>
      <c r="H324" s="238">
        <v>5000</v>
      </c>
      <c r="I324" s="238">
        <v>100</v>
      </c>
      <c r="J324" s="238" t="s">
        <v>500</v>
      </c>
      <c r="K324" s="238"/>
      <c r="L324" s="238" t="s">
        <v>31</v>
      </c>
      <c r="M324" s="238">
        <v>90</v>
      </c>
      <c r="N324" s="238"/>
      <c r="O324" s="238"/>
      <c r="P324" s="238"/>
      <c r="Q324" s="238"/>
      <c r="R324" s="238"/>
      <c r="S324" s="238"/>
      <c r="T324" s="238"/>
      <c r="U324" s="238">
        <v>20</v>
      </c>
      <c r="V324" s="238">
        <v>12.4</v>
      </c>
      <c r="W324" s="238">
        <v>0.1</v>
      </c>
      <c r="X324" s="238"/>
      <c r="Y324" s="238"/>
      <c r="Z324" s="238"/>
      <c r="AA324" s="238">
        <v>0.1</v>
      </c>
      <c r="AB324" s="238"/>
      <c r="AC324" s="238">
        <v>1.6</v>
      </c>
      <c r="AD324" s="238" t="s">
        <v>22</v>
      </c>
      <c r="AE324" s="238">
        <v>126</v>
      </c>
      <c r="AF324" s="238">
        <v>0.46</v>
      </c>
      <c r="AG324" s="238">
        <v>500000</v>
      </c>
      <c r="AH324" s="238"/>
      <c r="AI324" s="238"/>
      <c r="AJ324" s="238"/>
      <c r="AK324" s="238" t="s">
        <v>769</v>
      </c>
      <c r="AL324" s="238" t="s">
        <v>597</v>
      </c>
      <c r="AM324" s="238">
        <v>270.84683749999999</v>
      </c>
      <c r="AN324" s="238" t="s">
        <v>501</v>
      </c>
      <c r="AO324" s="238" t="s">
        <v>356</v>
      </c>
      <c r="AP324" s="238"/>
      <c r="AQ324" s="238"/>
      <c r="AR324" s="238"/>
      <c r="AS324" s="238"/>
      <c r="AT324" s="238"/>
      <c r="AU324" s="238"/>
      <c r="AV324" s="238"/>
      <c r="AW324" s="238">
        <v>2014800000</v>
      </c>
      <c r="AX324" s="238"/>
      <c r="AY324" s="238">
        <v>40296000000</v>
      </c>
      <c r="AZ324" s="238">
        <v>80592000</v>
      </c>
      <c r="BA324" s="238"/>
      <c r="BB324" s="238"/>
      <c r="BC324" s="238"/>
      <c r="BD324" s="238"/>
      <c r="BE324" s="238"/>
    </row>
    <row r="325" spans="1:57">
      <c r="A325" s="237" t="s">
        <v>783</v>
      </c>
      <c r="B325" s="237" t="s">
        <v>499</v>
      </c>
      <c r="C325" s="237">
        <v>2012</v>
      </c>
      <c r="D325" s="237"/>
      <c r="E325" s="237">
        <v>2012</v>
      </c>
      <c r="F325" s="237" t="s">
        <v>27</v>
      </c>
      <c r="G325" s="237" t="s">
        <v>30</v>
      </c>
      <c r="H325" s="237">
        <v>5000</v>
      </c>
      <c r="I325" s="237">
        <v>100</v>
      </c>
      <c r="J325" s="237" t="s">
        <v>500</v>
      </c>
      <c r="K325" s="237"/>
      <c r="L325" s="237" t="s">
        <v>31</v>
      </c>
      <c r="M325" s="237">
        <v>90</v>
      </c>
      <c r="N325" s="237"/>
      <c r="O325" s="237"/>
      <c r="P325" s="237"/>
      <c r="Q325" s="237"/>
      <c r="R325" s="237"/>
      <c r="S325" s="237"/>
      <c r="T325" s="237"/>
      <c r="U325" s="237">
        <v>20</v>
      </c>
      <c r="V325" s="237">
        <v>11.2</v>
      </c>
      <c r="W325" s="237">
        <v>0.1</v>
      </c>
      <c r="X325" s="237"/>
      <c r="Y325" s="237"/>
      <c r="Z325" s="237"/>
      <c r="AA325" s="237">
        <v>0.1</v>
      </c>
      <c r="AB325" s="237"/>
      <c r="AC325" s="237">
        <v>1.8</v>
      </c>
      <c r="AD325" s="237" t="s">
        <v>22</v>
      </c>
      <c r="AE325" s="237">
        <v>126</v>
      </c>
      <c r="AF325" s="237">
        <v>0.46</v>
      </c>
      <c r="AG325" s="237">
        <v>500000</v>
      </c>
      <c r="AH325" s="237"/>
      <c r="AI325" s="237"/>
      <c r="AJ325" s="237"/>
      <c r="AK325" s="237" t="s">
        <v>769</v>
      </c>
      <c r="AL325" s="237" t="s">
        <v>597</v>
      </c>
      <c r="AM325" s="237">
        <v>270.84683749999999</v>
      </c>
      <c r="AN325" s="237" t="s">
        <v>502</v>
      </c>
      <c r="AO325" s="237" t="s">
        <v>356</v>
      </c>
      <c r="AP325" s="237"/>
      <c r="AQ325" s="237"/>
      <c r="AR325" s="237"/>
      <c r="AS325" s="237"/>
      <c r="AT325" s="237"/>
      <c r="AU325" s="237"/>
      <c r="AV325" s="237"/>
      <c r="AW325" s="237">
        <v>2014800000</v>
      </c>
      <c r="AX325" s="237"/>
      <c r="AY325" s="237">
        <v>40296000000</v>
      </c>
      <c r="AZ325" s="237">
        <v>80592000</v>
      </c>
      <c r="BA325" s="237"/>
      <c r="BB325" s="237"/>
      <c r="BC325" s="237"/>
      <c r="BD325" s="237"/>
      <c r="BE325" s="237"/>
    </row>
    <row r="326" spans="1:57">
      <c r="A326" s="238" t="s">
        <v>783</v>
      </c>
      <c r="B326" s="238" t="s">
        <v>499</v>
      </c>
      <c r="C326" s="238">
        <v>2012</v>
      </c>
      <c r="D326" s="238"/>
      <c r="E326" s="238">
        <v>2012</v>
      </c>
      <c r="F326" s="238" t="s">
        <v>27</v>
      </c>
      <c r="G326" s="238" t="s">
        <v>30</v>
      </c>
      <c r="H326" s="238">
        <v>5000</v>
      </c>
      <c r="I326" s="238">
        <v>100</v>
      </c>
      <c r="J326" s="238" t="s">
        <v>500</v>
      </c>
      <c r="K326" s="238"/>
      <c r="L326" s="238" t="s">
        <v>31</v>
      </c>
      <c r="M326" s="238">
        <v>90</v>
      </c>
      <c r="N326" s="238"/>
      <c r="O326" s="238"/>
      <c r="P326" s="238"/>
      <c r="Q326" s="238"/>
      <c r="R326" s="238"/>
      <c r="S326" s="238"/>
      <c r="T326" s="238"/>
      <c r="U326" s="238">
        <v>20</v>
      </c>
      <c r="V326" s="238">
        <v>7.5</v>
      </c>
      <c r="W326" s="238">
        <v>0.1</v>
      </c>
      <c r="X326" s="238"/>
      <c r="Y326" s="238"/>
      <c r="Z326" s="238"/>
      <c r="AA326" s="238">
        <v>0.1</v>
      </c>
      <c r="AB326" s="238"/>
      <c r="AC326" s="238">
        <v>2.7</v>
      </c>
      <c r="AD326" s="238" t="s">
        <v>22</v>
      </c>
      <c r="AE326" s="238">
        <v>126</v>
      </c>
      <c r="AF326" s="238">
        <v>0.46</v>
      </c>
      <c r="AG326" s="238">
        <v>500000</v>
      </c>
      <c r="AH326" s="238"/>
      <c r="AI326" s="238"/>
      <c r="AJ326" s="238"/>
      <c r="AK326" s="238" t="s">
        <v>769</v>
      </c>
      <c r="AL326" s="238" t="s">
        <v>597</v>
      </c>
      <c r="AM326" s="238">
        <v>270.84683749999999</v>
      </c>
      <c r="AN326" s="238" t="s">
        <v>503</v>
      </c>
      <c r="AO326" s="238" t="s">
        <v>356</v>
      </c>
      <c r="AP326" s="238"/>
      <c r="AQ326" s="238"/>
      <c r="AR326" s="238"/>
      <c r="AS326" s="238"/>
      <c r="AT326" s="238"/>
      <c r="AU326" s="238"/>
      <c r="AV326" s="238"/>
      <c r="AW326" s="238">
        <v>2014800000</v>
      </c>
      <c r="AX326" s="238"/>
      <c r="AY326" s="238">
        <v>40296000000</v>
      </c>
      <c r="AZ326" s="238">
        <v>80592000</v>
      </c>
      <c r="BA326" s="238"/>
      <c r="BB326" s="238"/>
      <c r="BC326" s="238"/>
      <c r="BD326" s="238"/>
      <c r="BE326" s="238"/>
    </row>
    <row r="327" spans="1:57">
      <c r="A327" s="237" t="s">
        <v>783</v>
      </c>
      <c r="B327" s="237" t="s">
        <v>499</v>
      </c>
      <c r="C327" s="237">
        <v>2012</v>
      </c>
      <c r="D327" s="237"/>
      <c r="E327" s="237">
        <v>2012</v>
      </c>
      <c r="F327" s="237" t="s">
        <v>27</v>
      </c>
      <c r="G327" s="237" t="s">
        <v>30</v>
      </c>
      <c r="H327" s="237">
        <v>5000</v>
      </c>
      <c r="I327" s="237">
        <v>100</v>
      </c>
      <c r="J327" s="237" t="s">
        <v>500</v>
      </c>
      <c r="K327" s="237"/>
      <c r="L327" s="237" t="s">
        <v>31</v>
      </c>
      <c r="M327" s="237">
        <v>90</v>
      </c>
      <c r="N327" s="237"/>
      <c r="O327" s="237"/>
      <c r="P327" s="237"/>
      <c r="Q327" s="237"/>
      <c r="R327" s="237"/>
      <c r="S327" s="237"/>
      <c r="T327" s="237"/>
      <c r="U327" s="237">
        <v>20</v>
      </c>
      <c r="V327" s="237">
        <v>9.1999999999999993</v>
      </c>
      <c r="W327" s="237">
        <v>0.1</v>
      </c>
      <c r="X327" s="237"/>
      <c r="Y327" s="237"/>
      <c r="Z327" s="237"/>
      <c r="AA327" s="237">
        <v>0.1</v>
      </c>
      <c r="AB327" s="237"/>
      <c r="AC327" s="237">
        <v>2.2000000000000002</v>
      </c>
      <c r="AD327" s="237" t="s">
        <v>22</v>
      </c>
      <c r="AE327" s="237">
        <v>126</v>
      </c>
      <c r="AF327" s="237">
        <v>0.46</v>
      </c>
      <c r="AG327" s="237">
        <v>500000</v>
      </c>
      <c r="AH327" s="237"/>
      <c r="AI327" s="237"/>
      <c r="AJ327" s="237"/>
      <c r="AK327" s="237" t="s">
        <v>769</v>
      </c>
      <c r="AL327" s="237" t="s">
        <v>597</v>
      </c>
      <c r="AM327" s="237">
        <v>270.84683749999999</v>
      </c>
      <c r="AN327" s="237" t="s">
        <v>504</v>
      </c>
      <c r="AO327" s="237" t="s">
        <v>356</v>
      </c>
      <c r="AP327" s="237"/>
      <c r="AQ327" s="237"/>
      <c r="AR327" s="237"/>
      <c r="AS327" s="237"/>
      <c r="AT327" s="237"/>
      <c r="AU327" s="237"/>
      <c r="AV327" s="237"/>
      <c r="AW327" s="237">
        <v>2014800000</v>
      </c>
      <c r="AX327" s="237"/>
      <c r="AY327" s="237">
        <v>40296000000</v>
      </c>
      <c r="AZ327" s="237">
        <v>80592000</v>
      </c>
      <c r="BA327" s="237"/>
      <c r="BB327" s="237"/>
      <c r="BC327" s="237"/>
      <c r="BD327" s="237"/>
      <c r="BE327" s="237"/>
    </row>
    <row r="328" spans="1:57">
      <c r="A328" s="238" t="s">
        <v>783</v>
      </c>
      <c r="B328" s="238" t="s">
        <v>499</v>
      </c>
      <c r="C328" s="238">
        <v>2012</v>
      </c>
      <c r="D328" s="238"/>
      <c r="E328" s="238">
        <v>2012</v>
      </c>
      <c r="F328" s="238" t="s">
        <v>27</v>
      </c>
      <c r="G328" s="238" t="s">
        <v>30</v>
      </c>
      <c r="H328" s="238">
        <v>5000</v>
      </c>
      <c r="I328" s="238">
        <v>100</v>
      </c>
      <c r="J328" s="238" t="s">
        <v>500</v>
      </c>
      <c r="K328" s="238"/>
      <c r="L328" s="238" t="s">
        <v>31</v>
      </c>
      <c r="M328" s="238">
        <v>90</v>
      </c>
      <c r="N328" s="238"/>
      <c r="O328" s="238"/>
      <c r="P328" s="238"/>
      <c r="Q328" s="238"/>
      <c r="R328" s="238"/>
      <c r="S328" s="238"/>
      <c r="T328" s="238"/>
      <c r="U328" s="238">
        <v>20</v>
      </c>
      <c r="V328" s="238">
        <v>12</v>
      </c>
      <c r="W328" s="238">
        <v>0.1</v>
      </c>
      <c r="X328" s="238"/>
      <c r="Y328" s="238"/>
      <c r="Z328" s="238"/>
      <c r="AA328" s="238">
        <v>0.1</v>
      </c>
      <c r="AB328" s="238"/>
      <c r="AC328" s="238">
        <v>1.7</v>
      </c>
      <c r="AD328" s="238" t="s">
        <v>22</v>
      </c>
      <c r="AE328" s="238">
        <v>126</v>
      </c>
      <c r="AF328" s="238">
        <v>0.46</v>
      </c>
      <c r="AG328" s="238">
        <v>500000</v>
      </c>
      <c r="AH328" s="238"/>
      <c r="AI328" s="238"/>
      <c r="AJ328" s="238"/>
      <c r="AK328" s="238" t="s">
        <v>769</v>
      </c>
      <c r="AL328" s="238" t="s">
        <v>597</v>
      </c>
      <c r="AM328" s="238">
        <v>270.84683749999999</v>
      </c>
      <c r="AN328" s="238" t="s">
        <v>505</v>
      </c>
      <c r="AO328" s="238" t="s">
        <v>356</v>
      </c>
      <c r="AP328" s="238"/>
      <c r="AQ328" s="238"/>
      <c r="AR328" s="238"/>
      <c r="AS328" s="238"/>
      <c r="AT328" s="238"/>
      <c r="AU328" s="238"/>
      <c r="AV328" s="238"/>
      <c r="AW328" s="238">
        <v>2014800000</v>
      </c>
      <c r="AX328" s="238"/>
      <c r="AY328" s="238">
        <v>40296000000</v>
      </c>
      <c r="AZ328" s="238">
        <v>80592000</v>
      </c>
      <c r="BA328" s="238"/>
      <c r="BB328" s="238"/>
      <c r="BC328" s="238"/>
      <c r="BD328" s="238"/>
      <c r="BE328" s="238"/>
    </row>
    <row r="329" spans="1:57">
      <c r="A329" s="237" t="s">
        <v>783</v>
      </c>
      <c r="B329" s="237" t="s">
        <v>499</v>
      </c>
      <c r="C329" s="237">
        <v>2012</v>
      </c>
      <c r="D329" s="237"/>
      <c r="E329" s="237">
        <v>2012</v>
      </c>
      <c r="F329" s="237" t="s">
        <v>27</v>
      </c>
      <c r="G329" s="237" t="s">
        <v>30</v>
      </c>
      <c r="H329" s="237">
        <v>5000</v>
      </c>
      <c r="I329" s="237">
        <v>100</v>
      </c>
      <c r="J329" s="237" t="s">
        <v>500</v>
      </c>
      <c r="K329" s="237"/>
      <c r="L329" s="237" t="s">
        <v>31</v>
      </c>
      <c r="M329" s="237">
        <v>90</v>
      </c>
      <c r="N329" s="237"/>
      <c r="O329" s="237"/>
      <c r="P329" s="237"/>
      <c r="Q329" s="237"/>
      <c r="R329" s="237"/>
      <c r="S329" s="237"/>
      <c r="T329" s="237"/>
      <c r="U329" s="237">
        <v>20</v>
      </c>
      <c r="V329" s="237">
        <v>12.9</v>
      </c>
      <c r="W329" s="237">
        <v>0.1</v>
      </c>
      <c r="X329" s="237"/>
      <c r="Y329" s="237"/>
      <c r="Z329" s="237"/>
      <c r="AA329" s="237">
        <v>0.1</v>
      </c>
      <c r="AB329" s="237"/>
      <c r="AC329" s="237">
        <v>1.5</v>
      </c>
      <c r="AD329" s="237" t="s">
        <v>22</v>
      </c>
      <c r="AE329" s="237">
        <v>126</v>
      </c>
      <c r="AF329" s="237">
        <v>0.46</v>
      </c>
      <c r="AG329" s="237">
        <v>500000</v>
      </c>
      <c r="AH329" s="237"/>
      <c r="AI329" s="237"/>
      <c r="AJ329" s="237"/>
      <c r="AK329" s="237" t="s">
        <v>769</v>
      </c>
      <c r="AL329" s="237" t="s">
        <v>597</v>
      </c>
      <c r="AM329" s="237">
        <v>270.84683749999999</v>
      </c>
      <c r="AN329" s="237" t="s">
        <v>506</v>
      </c>
      <c r="AO329" s="237" t="s">
        <v>356</v>
      </c>
      <c r="AP329" s="237"/>
      <c r="AQ329" s="237"/>
      <c r="AR329" s="237"/>
      <c r="AS329" s="237"/>
      <c r="AT329" s="237"/>
      <c r="AU329" s="237"/>
      <c r="AV329" s="237"/>
      <c r="AW329" s="237">
        <v>2014800000</v>
      </c>
      <c r="AX329" s="237"/>
      <c r="AY329" s="237">
        <v>40296000000</v>
      </c>
      <c r="AZ329" s="237">
        <v>80592000</v>
      </c>
      <c r="BA329" s="237"/>
      <c r="BB329" s="237"/>
      <c r="BC329" s="237"/>
      <c r="BD329" s="237"/>
      <c r="BE329" s="237"/>
    </row>
    <row r="330" spans="1:57">
      <c r="A330" s="238" t="s">
        <v>783</v>
      </c>
      <c r="B330" s="238" t="s">
        <v>499</v>
      </c>
      <c r="C330" s="238">
        <v>2012</v>
      </c>
      <c r="D330" s="238"/>
      <c r="E330" s="238">
        <v>2012</v>
      </c>
      <c r="F330" s="238" t="s">
        <v>27</v>
      </c>
      <c r="G330" s="238" t="s">
        <v>507</v>
      </c>
      <c r="H330" s="238">
        <v>2300</v>
      </c>
      <c r="I330" s="238">
        <v>17</v>
      </c>
      <c r="J330" s="238"/>
      <c r="K330" s="238"/>
      <c r="L330" s="238" t="s">
        <v>24</v>
      </c>
      <c r="M330" s="238"/>
      <c r="N330" s="238"/>
      <c r="O330" s="238"/>
      <c r="P330" s="238"/>
      <c r="Q330" s="238"/>
      <c r="R330" s="238"/>
      <c r="S330" s="238"/>
      <c r="T330" s="238"/>
      <c r="U330" s="238">
        <v>20</v>
      </c>
      <c r="V330" s="238">
        <v>21</v>
      </c>
      <c r="W330" s="238">
        <v>0.2</v>
      </c>
      <c r="X330" s="238"/>
      <c r="Y330" s="238"/>
      <c r="Z330" s="238"/>
      <c r="AA330" s="238">
        <v>0.01</v>
      </c>
      <c r="AB330" s="238" t="s">
        <v>508</v>
      </c>
      <c r="AC330" s="238">
        <v>0.95</v>
      </c>
      <c r="AD330" s="238" t="s">
        <v>22</v>
      </c>
      <c r="AE330" s="238"/>
      <c r="AF330" s="238">
        <v>0.33867030999999997</v>
      </c>
      <c r="AG330" s="238">
        <v>39100</v>
      </c>
      <c r="AH330" s="238"/>
      <c r="AI330" s="238"/>
      <c r="AJ330" s="238"/>
      <c r="AK330" s="238" t="s">
        <v>769</v>
      </c>
      <c r="AL330" s="238" t="s">
        <v>597</v>
      </c>
      <c r="AM330" s="238">
        <v>270.84683749999999</v>
      </c>
      <c r="AN330" s="238"/>
      <c r="AO330" s="238" t="s">
        <v>340</v>
      </c>
      <c r="AP330" s="238"/>
      <c r="AQ330" s="238"/>
      <c r="AR330" s="238"/>
      <c r="AS330" s="238"/>
      <c r="AT330" s="238"/>
      <c r="AU330" s="238"/>
      <c r="AV330" s="238"/>
      <c r="AW330" s="238">
        <v>116000000</v>
      </c>
      <c r="AX330" s="238"/>
      <c r="AY330" s="238">
        <v>2320000000</v>
      </c>
      <c r="AZ330" s="238">
        <v>59335038.363171399</v>
      </c>
      <c r="BA330" s="238"/>
      <c r="BB330" s="238"/>
      <c r="BC330" s="238"/>
      <c r="BD330" s="238"/>
      <c r="BE330" s="238"/>
    </row>
    <row r="331" spans="1:57">
      <c r="A331" s="237" t="s">
        <v>783</v>
      </c>
      <c r="B331" s="237" t="s">
        <v>499</v>
      </c>
      <c r="C331" s="237">
        <v>2012</v>
      </c>
      <c r="D331" s="237"/>
      <c r="E331" s="237">
        <v>2012</v>
      </c>
      <c r="F331" s="237" t="s">
        <v>27</v>
      </c>
      <c r="G331" s="237" t="s">
        <v>507</v>
      </c>
      <c r="H331" s="237">
        <v>2300</v>
      </c>
      <c r="I331" s="237">
        <v>17</v>
      </c>
      <c r="J331" s="237"/>
      <c r="K331" s="237"/>
      <c r="L331" s="237" t="s">
        <v>24</v>
      </c>
      <c r="M331" s="237"/>
      <c r="N331" s="237"/>
      <c r="O331" s="237"/>
      <c r="P331" s="237"/>
      <c r="Q331" s="237"/>
      <c r="R331" s="237"/>
      <c r="S331" s="237"/>
      <c r="T331" s="237"/>
      <c r="U331" s="237">
        <v>20</v>
      </c>
      <c r="V331" s="237">
        <v>20</v>
      </c>
      <c r="W331" s="237">
        <v>0.2</v>
      </c>
      <c r="X331" s="237"/>
      <c r="Y331" s="237"/>
      <c r="Z331" s="237"/>
      <c r="AA331" s="237">
        <v>0.01</v>
      </c>
      <c r="AB331" s="237" t="s">
        <v>509</v>
      </c>
      <c r="AC331" s="237">
        <v>1</v>
      </c>
      <c r="AD331" s="237" t="s">
        <v>22</v>
      </c>
      <c r="AE331" s="237"/>
      <c r="AF331" s="237">
        <v>0.33867030999999997</v>
      </c>
      <c r="AG331" s="237">
        <v>39100</v>
      </c>
      <c r="AH331" s="237"/>
      <c r="AI331" s="237"/>
      <c r="AJ331" s="237"/>
      <c r="AK331" s="237" t="s">
        <v>769</v>
      </c>
      <c r="AL331" s="237" t="s">
        <v>597</v>
      </c>
      <c r="AM331" s="237">
        <v>270.84683749999999</v>
      </c>
      <c r="AN331" s="237"/>
      <c r="AO331" s="237" t="s">
        <v>340</v>
      </c>
      <c r="AP331" s="237"/>
      <c r="AQ331" s="237"/>
      <c r="AR331" s="237"/>
      <c r="AS331" s="237"/>
      <c r="AT331" s="237"/>
      <c r="AU331" s="237"/>
      <c r="AV331" s="237"/>
      <c r="AW331" s="237">
        <v>116000000</v>
      </c>
      <c r="AX331" s="237"/>
      <c r="AY331" s="237">
        <v>2320000000</v>
      </c>
      <c r="AZ331" s="237">
        <v>59335038.363171399</v>
      </c>
      <c r="BA331" s="237"/>
      <c r="BB331" s="237"/>
      <c r="BC331" s="237"/>
      <c r="BD331" s="237"/>
      <c r="BE331" s="237"/>
    </row>
    <row r="332" spans="1:57">
      <c r="A332" s="238" t="s">
        <v>783</v>
      </c>
      <c r="B332" s="238" t="s">
        <v>499</v>
      </c>
      <c r="C332" s="238">
        <v>2012</v>
      </c>
      <c r="D332" s="238"/>
      <c r="E332" s="238">
        <v>2012</v>
      </c>
      <c r="F332" s="238" t="s">
        <v>27</v>
      </c>
      <c r="G332" s="238" t="s">
        <v>507</v>
      </c>
      <c r="H332" s="238">
        <v>2300</v>
      </c>
      <c r="I332" s="238">
        <v>17</v>
      </c>
      <c r="J332" s="238"/>
      <c r="K332" s="238"/>
      <c r="L332" s="238" t="s">
        <v>24</v>
      </c>
      <c r="M332" s="238"/>
      <c r="N332" s="238"/>
      <c r="O332" s="238"/>
      <c r="P332" s="238"/>
      <c r="Q332" s="238"/>
      <c r="R332" s="238"/>
      <c r="S332" s="238"/>
      <c r="T332" s="238"/>
      <c r="U332" s="238">
        <v>20</v>
      </c>
      <c r="V332" s="238">
        <v>21</v>
      </c>
      <c r="W332" s="238">
        <v>0.2</v>
      </c>
      <c r="X332" s="238"/>
      <c r="Y332" s="238"/>
      <c r="Z332" s="238"/>
      <c r="AA332" s="238">
        <v>0.01</v>
      </c>
      <c r="AB332" s="238" t="s">
        <v>510</v>
      </c>
      <c r="AC332" s="238">
        <v>0.95</v>
      </c>
      <c r="AD332" s="238" t="s">
        <v>22</v>
      </c>
      <c r="AE332" s="238"/>
      <c r="AF332" s="238">
        <v>0.33867030999999997</v>
      </c>
      <c r="AG332" s="238">
        <v>39100</v>
      </c>
      <c r="AH332" s="238"/>
      <c r="AI332" s="238"/>
      <c r="AJ332" s="238"/>
      <c r="AK332" s="238" t="s">
        <v>769</v>
      </c>
      <c r="AL332" s="238" t="s">
        <v>597</v>
      </c>
      <c r="AM332" s="238">
        <v>270.84683749999999</v>
      </c>
      <c r="AN332" s="238"/>
      <c r="AO332" s="238" t="s">
        <v>340</v>
      </c>
      <c r="AP332" s="238"/>
      <c r="AQ332" s="238"/>
      <c r="AR332" s="238"/>
      <c r="AS332" s="238"/>
      <c r="AT332" s="238"/>
      <c r="AU332" s="238"/>
      <c r="AV332" s="238"/>
      <c r="AW332" s="238">
        <v>116000000</v>
      </c>
      <c r="AX332" s="238"/>
      <c r="AY332" s="238">
        <v>2320000000</v>
      </c>
      <c r="AZ332" s="238">
        <v>59335038.363171399</v>
      </c>
      <c r="BA332" s="238"/>
      <c r="BB332" s="238"/>
      <c r="BC332" s="238"/>
      <c r="BD332" s="238"/>
      <c r="BE332" s="238"/>
    </row>
    <row r="333" spans="1:57">
      <c r="A333" s="237" t="s">
        <v>783</v>
      </c>
      <c r="B333" s="237" t="s">
        <v>499</v>
      </c>
      <c r="C333" s="237">
        <v>2012</v>
      </c>
      <c r="D333" s="237"/>
      <c r="E333" s="237">
        <v>2012</v>
      </c>
      <c r="F333" s="237" t="s">
        <v>27</v>
      </c>
      <c r="G333" s="237" t="s">
        <v>507</v>
      </c>
      <c r="H333" s="237">
        <v>2300</v>
      </c>
      <c r="I333" s="237">
        <v>17</v>
      </c>
      <c r="J333" s="237"/>
      <c r="K333" s="237"/>
      <c r="L333" s="237" t="s">
        <v>24</v>
      </c>
      <c r="M333" s="237"/>
      <c r="N333" s="237"/>
      <c r="O333" s="237"/>
      <c r="P333" s="237"/>
      <c r="Q333" s="237"/>
      <c r="R333" s="237"/>
      <c r="S333" s="237"/>
      <c r="T333" s="237"/>
      <c r="U333" s="237">
        <v>20</v>
      </c>
      <c r="V333" s="237">
        <v>24</v>
      </c>
      <c r="W333" s="237">
        <v>0.2</v>
      </c>
      <c r="X333" s="237"/>
      <c r="Y333" s="237"/>
      <c r="Z333" s="237"/>
      <c r="AA333" s="237">
        <v>0.01</v>
      </c>
      <c r="AB333" s="237" t="s">
        <v>511</v>
      </c>
      <c r="AC333" s="237">
        <v>0.83</v>
      </c>
      <c r="AD333" s="237" t="s">
        <v>22</v>
      </c>
      <c r="AE333" s="237"/>
      <c r="AF333" s="237">
        <v>0.33867030999999997</v>
      </c>
      <c r="AG333" s="237">
        <v>39100</v>
      </c>
      <c r="AH333" s="237"/>
      <c r="AI333" s="237"/>
      <c r="AJ333" s="237"/>
      <c r="AK333" s="237" t="s">
        <v>769</v>
      </c>
      <c r="AL333" s="237" t="s">
        <v>597</v>
      </c>
      <c r="AM333" s="237">
        <v>270.84683749999999</v>
      </c>
      <c r="AN333" s="237"/>
      <c r="AO333" s="237" t="s">
        <v>340</v>
      </c>
      <c r="AP333" s="237"/>
      <c r="AQ333" s="237"/>
      <c r="AR333" s="237"/>
      <c r="AS333" s="237"/>
      <c r="AT333" s="237"/>
      <c r="AU333" s="237"/>
      <c r="AV333" s="237"/>
      <c r="AW333" s="237">
        <v>116000000</v>
      </c>
      <c r="AX333" s="237"/>
      <c r="AY333" s="237">
        <v>2320000000</v>
      </c>
      <c r="AZ333" s="237">
        <v>59335038.363171399</v>
      </c>
      <c r="BA333" s="237"/>
      <c r="BB333" s="237"/>
      <c r="BC333" s="237"/>
      <c r="BD333" s="237"/>
      <c r="BE333" s="237"/>
    </row>
    <row r="334" spans="1:57">
      <c r="A334" s="238" t="s">
        <v>783</v>
      </c>
      <c r="B334" s="238" t="s">
        <v>499</v>
      </c>
      <c r="C334" s="238">
        <v>2012</v>
      </c>
      <c r="D334" s="238"/>
      <c r="E334" s="238">
        <v>2012</v>
      </c>
      <c r="F334" s="238" t="s">
        <v>27</v>
      </c>
      <c r="G334" s="238" t="s">
        <v>507</v>
      </c>
      <c r="H334" s="238">
        <v>750</v>
      </c>
      <c r="I334" s="238">
        <v>5</v>
      </c>
      <c r="J334" s="238"/>
      <c r="K334" s="238"/>
      <c r="L334" s="238" t="s">
        <v>24</v>
      </c>
      <c r="M334" s="238"/>
      <c r="N334" s="238"/>
      <c r="O334" s="238"/>
      <c r="P334" s="238"/>
      <c r="Q334" s="238"/>
      <c r="R334" s="238"/>
      <c r="S334" s="238"/>
      <c r="T334" s="238"/>
      <c r="U334" s="238">
        <v>20</v>
      </c>
      <c r="V334" s="238">
        <v>14.4</v>
      </c>
      <c r="W334" s="238">
        <v>0.2</v>
      </c>
      <c r="X334" s="238"/>
      <c r="Y334" s="238"/>
      <c r="Z334" s="238"/>
      <c r="AA334" s="238">
        <v>0.01</v>
      </c>
      <c r="AB334" s="238" t="s">
        <v>512</v>
      </c>
      <c r="AC334" s="238">
        <v>1.39</v>
      </c>
      <c r="AD334" s="238" t="s">
        <v>22</v>
      </c>
      <c r="AE334" s="238"/>
      <c r="AF334" s="238">
        <v>0.243531202</v>
      </c>
      <c r="AG334" s="238">
        <v>3750</v>
      </c>
      <c r="AH334" s="238"/>
      <c r="AI334" s="238"/>
      <c r="AJ334" s="238"/>
      <c r="AK334" s="238" t="s">
        <v>769</v>
      </c>
      <c r="AL334" s="238" t="s">
        <v>597</v>
      </c>
      <c r="AM334" s="238">
        <v>270.84683749999999</v>
      </c>
      <c r="AN334" s="238"/>
      <c r="AO334" s="238" t="s">
        <v>340</v>
      </c>
      <c r="AP334" s="238"/>
      <c r="AQ334" s="238"/>
      <c r="AR334" s="238"/>
      <c r="AS334" s="238"/>
      <c r="AT334" s="238"/>
      <c r="AU334" s="238"/>
      <c r="AV334" s="238"/>
      <c r="AW334" s="238">
        <v>8000000</v>
      </c>
      <c r="AX334" s="238"/>
      <c r="AY334" s="238">
        <v>160000000</v>
      </c>
      <c r="AZ334" s="238">
        <v>42666666.666666701</v>
      </c>
      <c r="BA334" s="238"/>
      <c r="BB334" s="238"/>
      <c r="BC334" s="238"/>
      <c r="BD334" s="238"/>
      <c r="BE334" s="238"/>
    </row>
    <row r="335" spans="1:57">
      <c r="A335" s="237" t="s">
        <v>783</v>
      </c>
      <c r="B335" s="237" t="s">
        <v>499</v>
      </c>
      <c r="C335" s="237">
        <v>2012</v>
      </c>
      <c r="D335" s="237"/>
      <c r="E335" s="237">
        <v>2012</v>
      </c>
      <c r="F335" s="237" t="s">
        <v>27</v>
      </c>
      <c r="G335" s="237" t="s">
        <v>507</v>
      </c>
      <c r="H335" s="237">
        <v>750</v>
      </c>
      <c r="I335" s="237">
        <v>5</v>
      </c>
      <c r="J335" s="237"/>
      <c r="K335" s="237"/>
      <c r="L335" s="237" t="s">
        <v>24</v>
      </c>
      <c r="M335" s="237"/>
      <c r="N335" s="237"/>
      <c r="O335" s="237"/>
      <c r="P335" s="237"/>
      <c r="Q335" s="237"/>
      <c r="R335" s="237"/>
      <c r="S335" s="237"/>
      <c r="T335" s="237"/>
      <c r="U335" s="237">
        <v>20</v>
      </c>
      <c r="V335" s="237">
        <v>13.8</v>
      </c>
      <c r="W335" s="237">
        <v>0.2</v>
      </c>
      <c r="X335" s="237"/>
      <c r="Y335" s="237"/>
      <c r="Z335" s="237"/>
      <c r="AA335" s="237">
        <v>0.01</v>
      </c>
      <c r="AB335" s="237" t="s">
        <v>510</v>
      </c>
      <c r="AC335" s="237">
        <v>1.44</v>
      </c>
      <c r="AD335" s="237" t="s">
        <v>22</v>
      </c>
      <c r="AE335" s="237"/>
      <c r="AF335" s="237">
        <v>0.243531202</v>
      </c>
      <c r="AG335" s="237">
        <v>3750</v>
      </c>
      <c r="AH335" s="237"/>
      <c r="AI335" s="237"/>
      <c r="AJ335" s="237"/>
      <c r="AK335" s="237" t="s">
        <v>769</v>
      </c>
      <c r="AL335" s="237" t="s">
        <v>597</v>
      </c>
      <c r="AM335" s="237">
        <v>270.84683749999999</v>
      </c>
      <c r="AN335" s="237"/>
      <c r="AO335" s="237" t="s">
        <v>340</v>
      </c>
      <c r="AP335" s="237"/>
      <c r="AQ335" s="237"/>
      <c r="AR335" s="237"/>
      <c r="AS335" s="237"/>
      <c r="AT335" s="237"/>
      <c r="AU335" s="237"/>
      <c r="AV335" s="237"/>
      <c r="AW335" s="237">
        <v>8000000</v>
      </c>
      <c r="AX335" s="237"/>
      <c r="AY335" s="237">
        <v>160000000</v>
      </c>
      <c r="AZ335" s="237">
        <v>42666666.666666701</v>
      </c>
      <c r="BA335" s="237"/>
      <c r="BB335" s="237"/>
      <c r="BC335" s="237"/>
      <c r="BD335" s="237"/>
      <c r="BE335" s="237"/>
    </row>
    <row r="336" spans="1:57">
      <c r="A336" s="238" t="s">
        <v>783</v>
      </c>
      <c r="B336" s="238" t="s">
        <v>499</v>
      </c>
      <c r="C336" s="238">
        <v>2012</v>
      </c>
      <c r="D336" s="238"/>
      <c r="E336" s="238">
        <v>2012</v>
      </c>
      <c r="F336" s="238" t="s">
        <v>27</v>
      </c>
      <c r="G336" s="238" t="s">
        <v>507</v>
      </c>
      <c r="H336" s="238">
        <v>750</v>
      </c>
      <c r="I336" s="238">
        <v>5</v>
      </c>
      <c r="J336" s="238"/>
      <c r="K336" s="238"/>
      <c r="L336" s="238" t="s">
        <v>24</v>
      </c>
      <c r="M336" s="238"/>
      <c r="N336" s="238"/>
      <c r="O336" s="238"/>
      <c r="P336" s="238"/>
      <c r="Q336" s="238"/>
      <c r="R336" s="238"/>
      <c r="S336" s="238"/>
      <c r="T336" s="238"/>
      <c r="U336" s="238">
        <v>20</v>
      </c>
      <c r="V336" s="238">
        <v>15.6</v>
      </c>
      <c r="W336" s="238">
        <v>0.2</v>
      </c>
      <c r="X336" s="238"/>
      <c r="Y336" s="238"/>
      <c r="Z336" s="238"/>
      <c r="AA336" s="238">
        <v>0.01</v>
      </c>
      <c r="AB336" s="238" t="s">
        <v>511</v>
      </c>
      <c r="AC336" s="238">
        <v>1.27</v>
      </c>
      <c r="AD336" s="238" t="s">
        <v>22</v>
      </c>
      <c r="AE336" s="238"/>
      <c r="AF336" s="238">
        <v>0.243531202</v>
      </c>
      <c r="AG336" s="238">
        <v>3750</v>
      </c>
      <c r="AH336" s="238"/>
      <c r="AI336" s="238"/>
      <c r="AJ336" s="238"/>
      <c r="AK336" s="238" t="s">
        <v>769</v>
      </c>
      <c r="AL336" s="238" t="s">
        <v>597</v>
      </c>
      <c r="AM336" s="238">
        <v>270.84683749999999</v>
      </c>
      <c r="AN336" s="238"/>
      <c r="AO336" s="238" t="s">
        <v>340</v>
      </c>
      <c r="AP336" s="238"/>
      <c r="AQ336" s="238"/>
      <c r="AR336" s="238"/>
      <c r="AS336" s="238"/>
      <c r="AT336" s="238"/>
      <c r="AU336" s="238"/>
      <c r="AV336" s="238"/>
      <c r="AW336" s="238">
        <v>8000000</v>
      </c>
      <c r="AX336" s="238"/>
      <c r="AY336" s="238">
        <v>160000000</v>
      </c>
      <c r="AZ336" s="238">
        <v>42666666.666666701</v>
      </c>
      <c r="BA336" s="238"/>
      <c r="BB336" s="238"/>
      <c r="BC336" s="238"/>
      <c r="BD336" s="238"/>
      <c r="BE336" s="238"/>
    </row>
    <row r="337" spans="1:56">
      <c r="A337" t="s">
        <v>653</v>
      </c>
      <c r="B337" t="s">
        <v>26</v>
      </c>
      <c r="C337">
        <v>2012</v>
      </c>
      <c r="E337">
        <v>2012</v>
      </c>
      <c r="F337" t="s">
        <v>27</v>
      </c>
      <c r="G337" t="s">
        <v>19</v>
      </c>
      <c r="H337">
        <v>1650</v>
      </c>
      <c r="I337">
        <v>186</v>
      </c>
      <c r="J337" t="s">
        <v>268</v>
      </c>
      <c r="L337" t="s">
        <v>24</v>
      </c>
      <c r="Q337">
        <v>179667099</v>
      </c>
      <c r="S337">
        <v>0.59</v>
      </c>
      <c r="U337">
        <v>20</v>
      </c>
      <c r="AD337" t="s">
        <v>33</v>
      </c>
      <c r="AF337">
        <v>0.40699999999999997</v>
      </c>
      <c r="AG337">
        <v>306900</v>
      </c>
      <c r="AK337" t="s">
        <v>709</v>
      </c>
      <c r="AL337" t="s">
        <v>597</v>
      </c>
      <c r="AM337">
        <v>270.84683749999999</v>
      </c>
      <c r="AO337" t="s">
        <v>20</v>
      </c>
      <c r="AW337">
        <v>1094196708</v>
      </c>
      <c r="AY337">
        <v>21883934160</v>
      </c>
      <c r="AZ337">
        <v>71306400</v>
      </c>
      <c r="BD337">
        <v>8.2100000000000009</v>
      </c>
    </row>
    <row r="338" spans="1:56">
      <c r="A338" t="s">
        <v>653</v>
      </c>
      <c r="B338" t="s">
        <v>26</v>
      </c>
      <c r="C338">
        <v>2012</v>
      </c>
      <c r="E338">
        <v>2012</v>
      </c>
      <c r="F338" t="s">
        <v>27</v>
      </c>
      <c r="G338" t="s">
        <v>19</v>
      </c>
      <c r="H338">
        <v>3000</v>
      </c>
      <c r="I338">
        <v>100</v>
      </c>
      <c r="J338" t="s">
        <v>269</v>
      </c>
      <c r="L338" t="s">
        <v>31</v>
      </c>
      <c r="Q338">
        <v>170229646</v>
      </c>
      <c r="S338">
        <v>0.56999999999999995</v>
      </c>
      <c r="U338">
        <v>20</v>
      </c>
      <c r="AD338" t="s">
        <v>33</v>
      </c>
      <c r="AF338">
        <v>0.54159999999999997</v>
      </c>
      <c r="AG338">
        <v>300000</v>
      </c>
      <c r="AK338" t="s">
        <v>709</v>
      </c>
      <c r="AL338" t="s">
        <v>597</v>
      </c>
      <c r="AM338">
        <v>270.84683749999999</v>
      </c>
      <c r="AO338" t="s">
        <v>20</v>
      </c>
      <c r="AW338">
        <v>1423324800</v>
      </c>
      <c r="AY338">
        <v>28466496000</v>
      </c>
      <c r="AZ338">
        <v>94888320</v>
      </c>
      <c r="BD338">
        <v>5.98</v>
      </c>
    </row>
    <row r="339" spans="1:56">
      <c r="A339" t="s">
        <v>653</v>
      </c>
      <c r="B339" t="s">
        <v>26</v>
      </c>
      <c r="C339">
        <v>2012</v>
      </c>
      <c r="E339">
        <v>2012</v>
      </c>
      <c r="F339" t="s">
        <v>27</v>
      </c>
      <c r="G339" t="s">
        <v>19</v>
      </c>
      <c r="H339">
        <v>3000</v>
      </c>
      <c r="I339">
        <v>100</v>
      </c>
      <c r="J339" t="s">
        <v>269</v>
      </c>
      <c r="L339" t="s">
        <v>24</v>
      </c>
      <c r="Q339">
        <v>78419205</v>
      </c>
      <c r="S339">
        <v>0.26</v>
      </c>
      <c r="U339">
        <v>20</v>
      </c>
      <c r="AD339" t="s">
        <v>33</v>
      </c>
      <c r="AF339">
        <v>0.30020000000000002</v>
      </c>
      <c r="AG339">
        <v>300000</v>
      </c>
      <c r="AK339" t="s">
        <v>709</v>
      </c>
      <c r="AL339" t="s">
        <v>597</v>
      </c>
      <c r="AM339">
        <v>270.84683749999999</v>
      </c>
      <c r="AO339" t="s">
        <v>20</v>
      </c>
      <c r="AW339">
        <v>788925600</v>
      </c>
      <c r="AY339">
        <v>15778512000</v>
      </c>
      <c r="AZ339">
        <v>52595040</v>
      </c>
      <c r="BD339">
        <v>4.97</v>
      </c>
    </row>
    <row r="340" spans="1:56">
      <c r="A340" t="s">
        <v>653</v>
      </c>
      <c r="B340" t="s">
        <v>26</v>
      </c>
      <c r="C340">
        <v>2012</v>
      </c>
      <c r="E340">
        <v>2012</v>
      </c>
      <c r="F340" t="s">
        <v>27</v>
      </c>
      <c r="G340" t="s">
        <v>19</v>
      </c>
      <c r="H340">
        <v>850</v>
      </c>
      <c r="I340">
        <v>116</v>
      </c>
      <c r="J340" t="s">
        <v>270</v>
      </c>
      <c r="L340" t="s">
        <v>24</v>
      </c>
      <c r="U340">
        <v>20</v>
      </c>
      <c r="AD340" t="s">
        <v>33</v>
      </c>
      <c r="AF340">
        <v>0.23</v>
      </c>
      <c r="AG340">
        <v>98600</v>
      </c>
      <c r="AK340" t="s">
        <v>709</v>
      </c>
      <c r="AL340" t="s">
        <v>597</v>
      </c>
      <c r="AM340">
        <v>270.84683749999999</v>
      </c>
      <c r="AO340" t="s">
        <v>20</v>
      </c>
      <c r="AW340">
        <v>198659280</v>
      </c>
      <c r="AY340">
        <v>3973185600</v>
      </c>
      <c r="AZ340">
        <v>40296000</v>
      </c>
    </row>
    <row r="341" spans="1:56">
      <c r="A341" t="s">
        <v>655</v>
      </c>
      <c r="B341" t="s">
        <v>397</v>
      </c>
      <c r="C341">
        <v>2012</v>
      </c>
      <c r="E341">
        <v>2012</v>
      </c>
      <c r="H341">
        <v>1800</v>
      </c>
      <c r="I341">
        <v>1</v>
      </c>
      <c r="N341">
        <v>4.22</v>
      </c>
      <c r="P341">
        <v>1.17</v>
      </c>
      <c r="U341">
        <v>20</v>
      </c>
      <c r="X341">
        <v>47.1</v>
      </c>
      <c r="AC341">
        <v>0.42</v>
      </c>
      <c r="AF341">
        <v>0.28000000000000003</v>
      </c>
      <c r="AG341">
        <v>1800</v>
      </c>
      <c r="AH341">
        <v>7596000</v>
      </c>
      <c r="AK341" t="s">
        <v>694</v>
      </c>
      <c r="AL341" t="s">
        <v>597</v>
      </c>
      <c r="AM341">
        <v>270.84683749999999</v>
      </c>
      <c r="AO341" t="s">
        <v>340</v>
      </c>
      <c r="AW341">
        <v>4415040</v>
      </c>
      <c r="AY341">
        <v>99385000</v>
      </c>
      <c r="AZ341">
        <v>55213888.888888903</v>
      </c>
      <c r="BB341">
        <v>0.02</v>
      </c>
      <c r="BD341">
        <v>8.82</v>
      </c>
    </row>
    <row r="342" spans="1:56">
      <c r="A342" t="s">
        <v>655</v>
      </c>
      <c r="B342" t="s">
        <v>397</v>
      </c>
      <c r="C342">
        <v>2012</v>
      </c>
      <c r="E342">
        <v>2012</v>
      </c>
      <c r="H342">
        <v>2000</v>
      </c>
      <c r="I342">
        <v>1</v>
      </c>
      <c r="N342">
        <v>7.04</v>
      </c>
      <c r="P342">
        <v>1.96</v>
      </c>
      <c r="U342">
        <v>20</v>
      </c>
      <c r="X342">
        <v>30.59</v>
      </c>
      <c r="AC342">
        <v>0.65</v>
      </c>
      <c r="AF342">
        <v>0.34</v>
      </c>
      <c r="AG342">
        <v>2000</v>
      </c>
      <c r="AH342">
        <v>14076000</v>
      </c>
      <c r="AK342" t="s">
        <v>694</v>
      </c>
      <c r="AL342" t="s">
        <v>597</v>
      </c>
      <c r="AM342">
        <v>270.84683749999999</v>
      </c>
      <c r="AO342" t="s">
        <v>356</v>
      </c>
      <c r="AW342">
        <v>5956800</v>
      </c>
      <c r="AY342">
        <v>119600000</v>
      </c>
      <c r="AZ342">
        <v>59800000</v>
      </c>
      <c r="BB342">
        <v>0.03</v>
      </c>
      <c r="BD342">
        <v>9.73</v>
      </c>
    </row>
    <row r="343" spans="1:56">
      <c r="A343" t="s">
        <v>654</v>
      </c>
      <c r="B343" t="s">
        <v>401</v>
      </c>
      <c r="C343">
        <v>2012</v>
      </c>
      <c r="E343">
        <v>2012</v>
      </c>
      <c r="G343" t="s">
        <v>119</v>
      </c>
      <c r="H343">
        <v>100</v>
      </c>
      <c r="I343">
        <v>1</v>
      </c>
      <c r="M343">
        <v>37</v>
      </c>
      <c r="N343">
        <v>7.06</v>
      </c>
      <c r="P343">
        <v>1.96</v>
      </c>
      <c r="U343">
        <v>25</v>
      </c>
      <c r="X343">
        <v>27.01</v>
      </c>
      <c r="AC343">
        <v>0.93</v>
      </c>
      <c r="AE343">
        <v>21</v>
      </c>
      <c r="AF343">
        <v>0.24</v>
      </c>
      <c r="AG343">
        <v>100</v>
      </c>
      <c r="AH343">
        <v>706490</v>
      </c>
      <c r="AK343" t="s">
        <v>694</v>
      </c>
      <c r="AL343" t="s">
        <v>597</v>
      </c>
      <c r="AM343">
        <v>270.84683749999999</v>
      </c>
      <c r="AO343" t="s">
        <v>340</v>
      </c>
      <c r="AW343">
        <v>210240</v>
      </c>
      <c r="AY343">
        <v>5300000</v>
      </c>
      <c r="AZ343">
        <v>53000000</v>
      </c>
      <c r="BB343">
        <v>0.04</v>
      </c>
    </row>
    <row r="344" spans="1:56">
      <c r="A344" t="s">
        <v>654</v>
      </c>
      <c r="B344" t="s">
        <v>401</v>
      </c>
      <c r="C344">
        <v>2012</v>
      </c>
      <c r="E344">
        <v>2012</v>
      </c>
      <c r="G344" t="s">
        <v>119</v>
      </c>
      <c r="H344">
        <v>20</v>
      </c>
      <c r="I344">
        <v>5</v>
      </c>
      <c r="M344">
        <v>36</v>
      </c>
      <c r="N344">
        <v>10.85</v>
      </c>
      <c r="P344">
        <v>3.01</v>
      </c>
      <c r="U344">
        <v>25</v>
      </c>
      <c r="X344">
        <v>16.25</v>
      </c>
      <c r="AC344">
        <v>1.54</v>
      </c>
      <c r="AE344">
        <v>9.4499999999999993</v>
      </c>
      <c r="AF344">
        <v>0.22</v>
      </c>
      <c r="AG344">
        <v>100</v>
      </c>
      <c r="AH344">
        <v>1085350</v>
      </c>
      <c r="AK344" t="s">
        <v>694</v>
      </c>
      <c r="AL344" t="s">
        <v>597</v>
      </c>
      <c r="AM344">
        <v>270.84683749999999</v>
      </c>
      <c r="AO344" t="s">
        <v>340</v>
      </c>
      <c r="AW344">
        <v>192720</v>
      </c>
      <c r="AY344">
        <v>4900000</v>
      </c>
      <c r="AZ344">
        <v>49000000</v>
      </c>
      <c r="BB344">
        <v>0.06</v>
      </c>
    </row>
    <row r="345" spans="1:56">
      <c r="A345" t="s">
        <v>654</v>
      </c>
      <c r="B345" t="s">
        <v>401</v>
      </c>
      <c r="C345">
        <v>2012</v>
      </c>
      <c r="E345">
        <v>2012</v>
      </c>
      <c r="G345" t="s">
        <v>119</v>
      </c>
      <c r="H345">
        <v>5</v>
      </c>
      <c r="I345">
        <v>20</v>
      </c>
      <c r="M345">
        <v>36</v>
      </c>
      <c r="N345">
        <v>21.64</v>
      </c>
      <c r="P345">
        <v>6.01</v>
      </c>
      <c r="U345">
        <v>25</v>
      </c>
      <c r="X345">
        <v>8.48</v>
      </c>
      <c r="AC345">
        <v>2.95</v>
      </c>
      <c r="AE345">
        <v>5.5</v>
      </c>
      <c r="AF345">
        <v>0.23</v>
      </c>
      <c r="AG345">
        <v>100</v>
      </c>
      <c r="AH345">
        <v>2163930</v>
      </c>
      <c r="AK345" t="s">
        <v>694</v>
      </c>
      <c r="AL345" t="s">
        <v>597</v>
      </c>
      <c r="AM345">
        <v>270.84683749999999</v>
      </c>
      <c r="AO345" t="s">
        <v>340</v>
      </c>
      <c r="AW345">
        <v>201480</v>
      </c>
      <c r="AY345">
        <v>5100000</v>
      </c>
      <c r="AZ345">
        <v>51000000</v>
      </c>
      <c r="BB345">
        <v>0.12</v>
      </c>
    </row>
    <row r="346" spans="1:56">
      <c r="A346" t="s">
        <v>655</v>
      </c>
      <c r="B346" t="s">
        <v>397</v>
      </c>
      <c r="C346">
        <v>2012</v>
      </c>
      <c r="E346">
        <v>2012</v>
      </c>
      <c r="H346">
        <v>1800</v>
      </c>
      <c r="I346">
        <v>1</v>
      </c>
      <c r="J346" t="s">
        <v>545</v>
      </c>
      <c r="L346" t="s">
        <v>24</v>
      </c>
      <c r="N346">
        <v>13.1</v>
      </c>
      <c r="Q346">
        <v>2691282</v>
      </c>
      <c r="S346">
        <v>1.5</v>
      </c>
      <c r="U346">
        <v>20</v>
      </c>
      <c r="X346">
        <v>16.36</v>
      </c>
      <c r="Z346">
        <v>0.22</v>
      </c>
      <c r="AF346">
        <v>0.34</v>
      </c>
      <c r="AG346">
        <v>1800</v>
      </c>
      <c r="AH346">
        <v>23588928</v>
      </c>
      <c r="AK346" t="s">
        <v>643</v>
      </c>
      <c r="AL346" t="s">
        <v>597</v>
      </c>
      <c r="AM346">
        <v>270.84683749999999</v>
      </c>
      <c r="AQ346">
        <v>6552480</v>
      </c>
      <c r="AW346">
        <v>5361120</v>
      </c>
      <c r="AY346">
        <v>107222400</v>
      </c>
      <c r="AZ346">
        <v>59568000</v>
      </c>
      <c r="BB346">
        <v>0.06</v>
      </c>
      <c r="BD346">
        <v>25.1</v>
      </c>
    </row>
    <row r="347" spans="1:56">
      <c r="A347" t="s">
        <v>655</v>
      </c>
      <c r="B347" t="s">
        <v>397</v>
      </c>
      <c r="C347">
        <v>2012</v>
      </c>
      <c r="E347">
        <v>2012</v>
      </c>
      <c r="H347">
        <v>2000</v>
      </c>
      <c r="I347">
        <v>1</v>
      </c>
      <c r="J347" t="s">
        <v>545</v>
      </c>
      <c r="L347" t="s">
        <v>24</v>
      </c>
      <c r="N347">
        <v>4.78</v>
      </c>
      <c r="Q347">
        <v>1309795</v>
      </c>
      <c r="S347">
        <v>0.65</v>
      </c>
      <c r="U347">
        <v>20</v>
      </c>
      <c r="X347">
        <v>27.69</v>
      </c>
      <c r="Z347">
        <v>0.13</v>
      </c>
      <c r="AF347">
        <v>0.21</v>
      </c>
      <c r="AG347">
        <v>2000</v>
      </c>
      <c r="AH347">
        <v>9565920</v>
      </c>
      <c r="AK347" t="s">
        <v>643</v>
      </c>
      <c r="AL347" t="s">
        <v>597</v>
      </c>
      <c r="AM347">
        <v>270.84683749999999</v>
      </c>
      <c r="AQ347">
        <v>2657200</v>
      </c>
      <c r="AW347">
        <v>3679200</v>
      </c>
      <c r="AY347">
        <v>73584000</v>
      </c>
      <c r="AZ347">
        <v>36792000</v>
      </c>
      <c r="BB347">
        <v>0.04</v>
      </c>
      <c r="BD347">
        <v>17.8</v>
      </c>
    </row>
    <row r="348" spans="1:56">
      <c r="A348" t="s">
        <v>654</v>
      </c>
      <c r="B348" t="s">
        <v>401</v>
      </c>
      <c r="C348">
        <v>2012</v>
      </c>
      <c r="E348">
        <v>2012</v>
      </c>
      <c r="H348">
        <v>5</v>
      </c>
      <c r="I348">
        <v>1</v>
      </c>
      <c r="J348" t="s">
        <v>545</v>
      </c>
      <c r="L348" t="s">
        <v>24</v>
      </c>
      <c r="Q348">
        <v>10754</v>
      </c>
      <c r="S348">
        <v>2.15</v>
      </c>
      <c r="U348">
        <v>25</v>
      </c>
      <c r="AF348">
        <v>0.23</v>
      </c>
      <c r="AG348">
        <v>5</v>
      </c>
      <c r="AK348" t="s">
        <v>643</v>
      </c>
      <c r="AL348" t="s">
        <v>597</v>
      </c>
      <c r="AM348">
        <v>270.84683749999999</v>
      </c>
      <c r="AW348">
        <v>10074</v>
      </c>
      <c r="AY348">
        <v>251850</v>
      </c>
      <c r="AZ348">
        <v>50370000</v>
      </c>
      <c r="BD348">
        <v>42.7</v>
      </c>
    </row>
    <row r="349" spans="1:56">
      <c r="A349" t="s">
        <v>654</v>
      </c>
      <c r="B349" t="s">
        <v>401</v>
      </c>
      <c r="C349">
        <v>2012</v>
      </c>
      <c r="E349">
        <v>2012</v>
      </c>
      <c r="H349">
        <v>20</v>
      </c>
      <c r="I349">
        <v>1</v>
      </c>
      <c r="J349" t="s">
        <v>545</v>
      </c>
      <c r="L349" t="s">
        <v>24</v>
      </c>
      <c r="Q349">
        <v>24186</v>
      </c>
      <c r="S349">
        <v>1.21</v>
      </c>
      <c r="U349">
        <v>25</v>
      </c>
      <c r="AF349">
        <v>0.22</v>
      </c>
      <c r="AG349">
        <v>20</v>
      </c>
      <c r="AK349" t="s">
        <v>643</v>
      </c>
      <c r="AL349" t="s">
        <v>597</v>
      </c>
      <c r="AM349">
        <v>270.84683749999999</v>
      </c>
      <c r="AW349">
        <v>38544</v>
      </c>
      <c r="AY349">
        <v>963600</v>
      </c>
      <c r="AZ349">
        <v>48180000</v>
      </c>
      <c r="BD349">
        <v>25.1</v>
      </c>
    </row>
    <row r="350" spans="1:56">
      <c r="A350" t="s">
        <v>654</v>
      </c>
      <c r="B350" t="s">
        <v>401</v>
      </c>
      <c r="C350">
        <v>2012</v>
      </c>
      <c r="E350">
        <v>2012</v>
      </c>
      <c r="H350">
        <v>100</v>
      </c>
      <c r="I350">
        <v>1</v>
      </c>
      <c r="J350" t="s">
        <v>545</v>
      </c>
      <c r="L350" t="s">
        <v>24</v>
      </c>
      <c r="Q350">
        <v>93557</v>
      </c>
      <c r="S350">
        <v>0.94</v>
      </c>
      <c r="U350">
        <v>25</v>
      </c>
      <c r="AF350">
        <v>0.24</v>
      </c>
      <c r="AG350">
        <v>100</v>
      </c>
      <c r="AK350" t="s">
        <v>643</v>
      </c>
      <c r="AL350" t="s">
        <v>597</v>
      </c>
      <c r="AM350">
        <v>270.84683749999999</v>
      </c>
      <c r="AW350">
        <v>210240</v>
      </c>
      <c r="AY350">
        <v>5256000</v>
      </c>
      <c r="AZ350">
        <v>52560000</v>
      </c>
      <c r="BD350">
        <v>17.8</v>
      </c>
    </row>
    <row r="351" spans="1:56">
      <c r="A351" t="s">
        <v>653</v>
      </c>
      <c r="B351" t="s">
        <v>26</v>
      </c>
      <c r="C351">
        <v>2012</v>
      </c>
      <c r="E351">
        <v>2012</v>
      </c>
      <c r="H351">
        <v>1650</v>
      </c>
      <c r="I351">
        <v>1</v>
      </c>
      <c r="J351" t="s">
        <v>545</v>
      </c>
      <c r="L351" t="s">
        <v>24</v>
      </c>
      <c r="Q351">
        <v>1943774</v>
      </c>
      <c r="S351">
        <v>1.18</v>
      </c>
      <c r="U351">
        <v>20</v>
      </c>
      <c r="AF351">
        <v>0.41</v>
      </c>
      <c r="AG351">
        <v>1650</v>
      </c>
      <c r="AK351" t="s">
        <v>643</v>
      </c>
      <c r="AL351" t="s">
        <v>597</v>
      </c>
      <c r="AM351">
        <v>270.84683749999999</v>
      </c>
      <c r="AW351">
        <v>5926140</v>
      </c>
      <c r="AY351">
        <v>118522800</v>
      </c>
      <c r="AZ351">
        <v>71832000</v>
      </c>
      <c r="BD351">
        <v>16.399999999999999</v>
      </c>
    </row>
    <row r="352" spans="1:56">
      <c r="A352" t="s">
        <v>653</v>
      </c>
      <c r="B352" t="s">
        <v>26</v>
      </c>
      <c r="C352">
        <v>2012</v>
      </c>
      <c r="E352">
        <v>2012</v>
      </c>
      <c r="H352">
        <v>3000</v>
      </c>
      <c r="I352">
        <v>1</v>
      </c>
      <c r="J352" t="s">
        <v>545</v>
      </c>
      <c r="L352" t="s">
        <v>31</v>
      </c>
      <c r="Q352">
        <v>3888389</v>
      </c>
      <c r="S352">
        <v>1.3</v>
      </c>
      <c r="U352">
        <v>20</v>
      </c>
      <c r="AF352">
        <v>0.54</v>
      </c>
      <c r="AG352">
        <v>3000</v>
      </c>
      <c r="AK352" t="s">
        <v>643</v>
      </c>
      <c r="AL352" t="s">
        <v>597</v>
      </c>
      <c r="AM352">
        <v>270.84683749999999</v>
      </c>
      <c r="AN352" t="s">
        <v>560</v>
      </c>
      <c r="AW352">
        <v>14191200</v>
      </c>
      <c r="AY352">
        <v>283824000</v>
      </c>
      <c r="AZ352">
        <v>94608000</v>
      </c>
      <c r="BD352">
        <v>13.7</v>
      </c>
    </row>
    <row r="353" spans="1:57">
      <c r="A353" t="s">
        <v>653</v>
      </c>
      <c r="B353" t="s">
        <v>26</v>
      </c>
      <c r="C353">
        <v>2012</v>
      </c>
      <c r="E353">
        <v>2012</v>
      </c>
      <c r="H353">
        <v>3000</v>
      </c>
      <c r="I353">
        <v>1</v>
      </c>
      <c r="J353" t="s">
        <v>545</v>
      </c>
      <c r="L353" t="s">
        <v>24</v>
      </c>
      <c r="N353">
        <v>25.75</v>
      </c>
      <c r="Q353">
        <v>5045760</v>
      </c>
      <c r="S353">
        <v>1.68</v>
      </c>
      <c r="U353">
        <v>20</v>
      </c>
      <c r="X353">
        <v>7.35</v>
      </c>
      <c r="Z353">
        <v>0.49</v>
      </c>
      <c r="AF353">
        <v>0.3</v>
      </c>
      <c r="AG353">
        <v>3000</v>
      </c>
      <c r="AH353">
        <v>77263200</v>
      </c>
      <c r="AK353" t="s">
        <v>643</v>
      </c>
      <c r="AL353" t="s">
        <v>597</v>
      </c>
      <c r="AM353">
        <v>270.84683749999999</v>
      </c>
      <c r="AQ353">
        <v>21462000</v>
      </c>
      <c r="AW353">
        <v>7884000</v>
      </c>
      <c r="AY353">
        <v>157680000</v>
      </c>
      <c r="AZ353">
        <v>52560000</v>
      </c>
      <c r="BB353">
        <v>0.14000000000000001</v>
      </c>
      <c r="BD353">
        <v>32</v>
      </c>
    </row>
    <row r="354" spans="1:57">
      <c r="A354" s="238" t="s">
        <v>661</v>
      </c>
      <c r="B354" s="238" t="s">
        <v>465</v>
      </c>
      <c r="C354" s="238">
        <v>2013</v>
      </c>
      <c r="D354" s="238"/>
      <c r="E354" s="238">
        <v>2013</v>
      </c>
      <c r="F354" s="238" t="s">
        <v>27</v>
      </c>
      <c r="G354" s="238" t="s">
        <v>81</v>
      </c>
      <c r="H354" s="238">
        <v>330</v>
      </c>
      <c r="I354" s="238">
        <v>1</v>
      </c>
      <c r="J354" s="238"/>
      <c r="K354" s="238"/>
      <c r="L354" s="238"/>
      <c r="M354" s="238">
        <v>50</v>
      </c>
      <c r="N354" s="238">
        <v>15.24</v>
      </c>
      <c r="O354" s="238"/>
      <c r="P354" s="238">
        <v>4.2300000000000004</v>
      </c>
      <c r="Q354" s="238"/>
      <c r="R354" s="238"/>
      <c r="S354" s="238"/>
      <c r="T354" s="238"/>
      <c r="U354" s="238">
        <v>20</v>
      </c>
      <c r="V354" s="238"/>
      <c r="W354" s="238"/>
      <c r="X354" s="238"/>
      <c r="Y354" s="238"/>
      <c r="Z354" s="238"/>
      <c r="AA354" s="238"/>
      <c r="AB354" s="238"/>
      <c r="AC354" s="238">
        <v>2.97</v>
      </c>
      <c r="AD354" s="238" t="s">
        <v>466</v>
      </c>
      <c r="AE354" s="238">
        <v>33</v>
      </c>
      <c r="AF354" s="238">
        <v>0.162930677</v>
      </c>
      <c r="AG354" s="238">
        <v>330</v>
      </c>
      <c r="AH354" s="238">
        <v>5030280</v>
      </c>
      <c r="AI354" s="238"/>
      <c r="AJ354" s="238"/>
      <c r="AK354" s="238" t="s">
        <v>769</v>
      </c>
      <c r="AL354" s="238" t="s">
        <v>597</v>
      </c>
      <c r="AM354" s="238">
        <v>310.36672750000002</v>
      </c>
      <c r="AN354" s="238"/>
      <c r="AO354" s="238"/>
      <c r="AP354" s="238"/>
      <c r="AQ354" s="238">
        <v>1397300</v>
      </c>
      <c r="AR354" s="238"/>
      <c r="AS354" s="238"/>
      <c r="AT354" s="238"/>
      <c r="AU354" s="238"/>
      <c r="AV354" s="238"/>
      <c r="AW354" s="238">
        <v>471000</v>
      </c>
      <c r="AX354" s="238"/>
      <c r="AY354" s="238">
        <v>9420000</v>
      </c>
      <c r="AZ354" s="238">
        <v>28545454.545454498</v>
      </c>
      <c r="BA354" s="238"/>
      <c r="BB354" s="238">
        <v>0.14799999999999999</v>
      </c>
      <c r="BC354" s="238"/>
      <c r="BD354" s="238"/>
      <c r="BE354" s="238"/>
    </row>
    <row r="355" spans="1:57">
      <c r="A355" s="237" t="s">
        <v>661</v>
      </c>
      <c r="B355" s="237" t="s">
        <v>465</v>
      </c>
      <c r="C355" s="237">
        <v>2013</v>
      </c>
      <c r="D355" s="237"/>
      <c r="E355" s="237">
        <v>2013</v>
      </c>
      <c r="F355" s="237" t="s">
        <v>27</v>
      </c>
      <c r="G355" s="237" t="s">
        <v>81</v>
      </c>
      <c r="H355" s="237">
        <v>330</v>
      </c>
      <c r="I355" s="237">
        <v>1</v>
      </c>
      <c r="J355" s="237"/>
      <c r="K355" s="237"/>
      <c r="L355" s="237"/>
      <c r="M355" s="237">
        <v>80</v>
      </c>
      <c r="N355" s="237"/>
      <c r="O355" s="237"/>
      <c r="P355" s="237"/>
      <c r="Q355" s="237"/>
      <c r="R355" s="237"/>
      <c r="S355" s="237"/>
      <c r="T355" s="237"/>
      <c r="U355" s="237">
        <v>20</v>
      </c>
      <c r="V355" s="237"/>
      <c r="W355" s="237"/>
      <c r="X355" s="237"/>
      <c r="Y355" s="237"/>
      <c r="Z355" s="237"/>
      <c r="AA355" s="237"/>
      <c r="AB355" s="237"/>
      <c r="AC355" s="237">
        <v>2.75</v>
      </c>
      <c r="AD355" s="237"/>
      <c r="AE355" s="237">
        <v>33</v>
      </c>
      <c r="AF355" s="237">
        <v>0.21032240199999999</v>
      </c>
      <c r="AG355" s="237">
        <v>330</v>
      </c>
      <c r="AH355" s="237"/>
      <c r="AI355" s="237"/>
      <c r="AJ355" s="237"/>
      <c r="AK355" s="237" t="s">
        <v>769</v>
      </c>
      <c r="AL355" s="237" t="s">
        <v>597</v>
      </c>
      <c r="AM355" s="237">
        <v>310.36672750000002</v>
      </c>
      <c r="AN355" s="237"/>
      <c r="AO355" s="237"/>
      <c r="AP355" s="237"/>
      <c r="AQ355" s="237"/>
      <c r="AR355" s="237"/>
      <c r="AS355" s="237"/>
      <c r="AT355" s="237"/>
      <c r="AU355" s="237"/>
      <c r="AV355" s="237"/>
      <c r="AW355" s="237">
        <v>608000</v>
      </c>
      <c r="AX355" s="237"/>
      <c r="AY355" s="237">
        <v>12160000</v>
      </c>
      <c r="AZ355" s="237">
        <v>36848484.848484904</v>
      </c>
      <c r="BA355" s="237"/>
      <c r="BB355" s="237"/>
      <c r="BC355" s="237"/>
      <c r="BD355" s="237"/>
      <c r="BE355" s="237"/>
    </row>
    <row r="356" spans="1:57">
      <c r="A356" s="238" t="s">
        <v>661</v>
      </c>
      <c r="B356" s="238" t="s">
        <v>465</v>
      </c>
      <c r="C356" s="238">
        <v>2013</v>
      </c>
      <c r="D356" s="238"/>
      <c r="E356" s="238">
        <v>2013</v>
      </c>
      <c r="F356" s="238" t="s">
        <v>27</v>
      </c>
      <c r="G356" s="238" t="s">
        <v>81</v>
      </c>
      <c r="H356" s="238">
        <v>330</v>
      </c>
      <c r="I356" s="238">
        <v>1</v>
      </c>
      <c r="J356" s="238"/>
      <c r="K356" s="238"/>
      <c r="L356" s="238"/>
      <c r="M356" s="238">
        <v>100</v>
      </c>
      <c r="N356" s="238"/>
      <c r="O356" s="238"/>
      <c r="P356" s="238"/>
      <c r="Q356" s="238"/>
      <c r="R356" s="238"/>
      <c r="S356" s="238"/>
      <c r="T356" s="238"/>
      <c r="U356" s="238">
        <v>20</v>
      </c>
      <c r="V356" s="238"/>
      <c r="W356" s="238"/>
      <c r="X356" s="238"/>
      <c r="Y356" s="238"/>
      <c r="Z356" s="238"/>
      <c r="AA356" s="238"/>
      <c r="AB356" s="238"/>
      <c r="AC356" s="238">
        <v>2.5</v>
      </c>
      <c r="AD356" s="238"/>
      <c r="AE356" s="238">
        <v>33</v>
      </c>
      <c r="AF356" s="238">
        <v>0.25806005300000001</v>
      </c>
      <c r="AG356" s="238">
        <v>330</v>
      </c>
      <c r="AH356" s="238"/>
      <c r="AI356" s="238"/>
      <c r="AJ356" s="238"/>
      <c r="AK356" s="238" t="s">
        <v>769</v>
      </c>
      <c r="AL356" s="238" t="s">
        <v>597</v>
      </c>
      <c r="AM356" s="238">
        <v>310.36672750000002</v>
      </c>
      <c r="AN356" s="238"/>
      <c r="AO356" s="238"/>
      <c r="AP356" s="238"/>
      <c r="AQ356" s="238"/>
      <c r="AR356" s="238"/>
      <c r="AS356" s="238"/>
      <c r="AT356" s="238"/>
      <c r="AU356" s="238"/>
      <c r="AV356" s="238"/>
      <c r="AW356" s="238">
        <v>746000</v>
      </c>
      <c r="AX356" s="238"/>
      <c r="AY356" s="238">
        <v>14920000</v>
      </c>
      <c r="AZ356" s="238">
        <v>45212121.212121204</v>
      </c>
      <c r="BA356" s="238"/>
      <c r="BB356" s="238"/>
      <c r="BC356" s="238"/>
      <c r="BD356" s="238"/>
      <c r="BE356" s="238"/>
    </row>
    <row r="357" spans="1:57">
      <c r="A357" s="237" t="s">
        <v>661</v>
      </c>
      <c r="B357" s="237" t="s">
        <v>465</v>
      </c>
      <c r="C357" s="237">
        <v>2013</v>
      </c>
      <c r="D357" s="237"/>
      <c r="E357" s="237">
        <v>2013</v>
      </c>
      <c r="F357" s="237" t="s">
        <v>27</v>
      </c>
      <c r="G357" s="237" t="s">
        <v>81</v>
      </c>
      <c r="H357" s="237">
        <v>500</v>
      </c>
      <c r="I357" s="237">
        <v>1</v>
      </c>
      <c r="J357" s="237"/>
      <c r="K357" s="237"/>
      <c r="L357" s="237"/>
      <c r="M357" s="237">
        <v>50</v>
      </c>
      <c r="N357" s="237"/>
      <c r="O357" s="237"/>
      <c r="P357" s="237"/>
      <c r="Q357" s="237"/>
      <c r="R357" s="237"/>
      <c r="S357" s="237"/>
      <c r="T357" s="237"/>
      <c r="U357" s="237">
        <v>20</v>
      </c>
      <c r="V357" s="237"/>
      <c r="W357" s="237"/>
      <c r="X357" s="237"/>
      <c r="Y357" s="237"/>
      <c r="Z357" s="237"/>
      <c r="AA357" s="237"/>
      <c r="AB357" s="237"/>
      <c r="AC357" s="237">
        <v>2.92</v>
      </c>
      <c r="AD357" s="237"/>
      <c r="AE357" s="237">
        <v>48</v>
      </c>
      <c r="AF357" s="237">
        <v>0.15821917799999999</v>
      </c>
      <c r="AG357" s="237">
        <v>500</v>
      </c>
      <c r="AH357" s="237"/>
      <c r="AI357" s="237"/>
      <c r="AJ357" s="237"/>
      <c r="AK357" s="237" t="s">
        <v>769</v>
      </c>
      <c r="AL357" s="237" t="s">
        <v>597</v>
      </c>
      <c r="AM357" s="237">
        <v>310.36672750000002</v>
      </c>
      <c r="AN357" s="237"/>
      <c r="AO357" s="237"/>
      <c r="AP357" s="237"/>
      <c r="AQ357" s="237"/>
      <c r="AR357" s="237"/>
      <c r="AS357" s="237"/>
      <c r="AT357" s="237"/>
      <c r="AU357" s="237"/>
      <c r="AV357" s="237"/>
      <c r="AW357" s="237">
        <v>693000</v>
      </c>
      <c r="AX357" s="237"/>
      <c r="AY357" s="237">
        <v>13860000</v>
      </c>
      <c r="AZ357" s="237">
        <v>27720000</v>
      </c>
      <c r="BA357" s="237"/>
      <c r="BB357" s="237"/>
      <c r="BC357" s="237"/>
      <c r="BD357" s="237"/>
      <c r="BE357" s="237"/>
    </row>
    <row r="358" spans="1:57">
      <c r="A358" s="238" t="s">
        <v>661</v>
      </c>
      <c r="B358" s="238" t="s">
        <v>465</v>
      </c>
      <c r="C358" s="238">
        <v>2013</v>
      </c>
      <c r="D358" s="238"/>
      <c r="E358" s="238">
        <v>2013</v>
      </c>
      <c r="F358" s="238" t="s">
        <v>27</v>
      </c>
      <c r="G358" s="238" t="s">
        <v>81</v>
      </c>
      <c r="H358" s="238">
        <v>500</v>
      </c>
      <c r="I358" s="238">
        <v>1</v>
      </c>
      <c r="J358" s="238"/>
      <c r="K358" s="238"/>
      <c r="L358" s="238"/>
      <c r="M358" s="238">
        <v>80</v>
      </c>
      <c r="N358" s="238"/>
      <c r="O358" s="238"/>
      <c r="P358" s="238"/>
      <c r="Q358" s="238"/>
      <c r="R358" s="238"/>
      <c r="S358" s="238"/>
      <c r="T358" s="238"/>
      <c r="U358" s="238">
        <v>20</v>
      </c>
      <c r="V358" s="238"/>
      <c r="W358" s="238"/>
      <c r="X358" s="238"/>
      <c r="Y358" s="238"/>
      <c r="Z358" s="238"/>
      <c r="AA358" s="238"/>
      <c r="AB358" s="238"/>
      <c r="AC358" s="238">
        <v>2.42</v>
      </c>
      <c r="AD358" s="238"/>
      <c r="AE358" s="238">
        <v>48</v>
      </c>
      <c r="AF358" s="238">
        <v>0.20616438400000001</v>
      </c>
      <c r="AG358" s="238">
        <v>500</v>
      </c>
      <c r="AH358" s="238"/>
      <c r="AI358" s="238"/>
      <c r="AJ358" s="238"/>
      <c r="AK358" s="238" t="s">
        <v>769</v>
      </c>
      <c r="AL358" s="238" t="s">
        <v>597</v>
      </c>
      <c r="AM358" s="238">
        <v>310.36672750000002</v>
      </c>
      <c r="AN358" s="238"/>
      <c r="AO358" s="238"/>
      <c r="AP358" s="238"/>
      <c r="AQ358" s="238"/>
      <c r="AR358" s="238"/>
      <c r="AS358" s="238"/>
      <c r="AT358" s="238"/>
      <c r="AU358" s="238"/>
      <c r="AV358" s="238"/>
      <c r="AW358" s="238">
        <v>903000</v>
      </c>
      <c r="AX358" s="238"/>
      <c r="AY358" s="238">
        <v>18060000</v>
      </c>
      <c r="AZ358" s="238">
        <v>36120000</v>
      </c>
      <c r="BA358" s="238"/>
      <c r="BB358" s="238"/>
      <c r="BC358" s="238"/>
      <c r="BD358" s="238"/>
      <c r="BE358" s="238"/>
    </row>
    <row r="359" spans="1:57">
      <c r="A359" s="237" t="s">
        <v>661</v>
      </c>
      <c r="B359" s="237" t="s">
        <v>465</v>
      </c>
      <c r="C359" s="237">
        <v>2013</v>
      </c>
      <c r="D359" s="237"/>
      <c r="E359" s="237">
        <v>2013</v>
      </c>
      <c r="F359" s="237" t="s">
        <v>27</v>
      </c>
      <c r="G359" s="237" t="s">
        <v>81</v>
      </c>
      <c r="H359" s="237">
        <v>500</v>
      </c>
      <c r="I359" s="237">
        <v>1</v>
      </c>
      <c r="J359" s="237"/>
      <c r="K359" s="237"/>
      <c r="L359" s="237"/>
      <c r="M359" s="237">
        <v>100</v>
      </c>
      <c r="N359" s="237"/>
      <c r="O359" s="237"/>
      <c r="P359" s="237"/>
      <c r="Q359" s="237"/>
      <c r="R359" s="237"/>
      <c r="S359" s="237"/>
      <c r="T359" s="237"/>
      <c r="U359" s="237">
        <v>20</v>
      </c>
      <c r="V359" s="237"/>
      <c r="W359" s="237"/>
      <c r="X359" s="237"/>
      <c r="Y359" s="237"/>
      <c r="Z359" s="237"/>
      <c r="AA359" s="237"/>
      <c r="AB359" s="237"/>
      <c r="AC359" s="237">
        <v>2.25</v>
      </c>
      <c r="AD359" s="237"/>
      <c r="AE359" s="237">
        <v>48</v>
      </c>
      <c r="AF359" s="237">
        <v>0.23059360700000001</v>
      </c>
      <c r="AG359" s="237">
        <v>500</v>
      </c>
      <c r="AH359" s="237"/>
      <c r="AI359" s="237"/>
      <c r="AJ359" s="237"/>
      <c r="AK359" s="237" t="s">
        <v>769</v>
      </c>
      <c r="AL359" s="237" t="s">
        <v>597</v>
      </c>
      <c r="AM359" s="237">
        <v>310.36672750000002</v>
      </c>
      <c r="AN359" s="237"/>
      <c r="AO359" s="237"/>
      <c r="AP359" s="237"/>
      <c r="AQ359" s="237"/>
      <c r="AR359" s="237"/>
      <c r="AS359" s="237"/>
      <c r="AT359" s="237"/>
      <c r="AU359" s="237"/>
      <c r="AV359" s="237"/>
      <c r="AW359" s="237">
        <v>1010000</v>
      </c>
      <c r="AX359" s="237"/>
      <c r="AY359" s="237">
        <v>20200000</v>
      </c>
      <c r="AZ359" s="237">
        <v>40400000</v>
      </c>
      <c r="BA359" s="237"/>
      <c r="BB359" s="237"/>
      <c r="BC359" s="237"/>
      <c r="BD359" s="237"/>
      <c r="BE359" s="237"/>
    </row>
    <row r="360" spans="1:57">
      <c r="A360" s="238" t="s">
        <v>661</v>
      </c>
      <c r="B360" s="238" t="s">
        <v>465</v>
      </c>
      <c r="C360" s="238">
        <v>2013</v>
      </c>
      <c r="D360" s="238"/>
      <c r="E360" s="238">
        <v>2013</v>
      </c>
      <c r="F360" s="238" t="s">
        <v>27</v>
      </c>
      <c r="G360" s="238" t="s">
        <v>81</v>
      </c>
      <c r="H360" s="238">
        <v>810</v>
      </c>
      <c r="I360" s="238">
        <v>1</v>
      </c>
      <c r="J360" s="238"/>
      <c r="K360" s="238"/>
      <c r="L360" s="238"/>
      <c r="M360" s="238">
        <v>50</v>
      </c>
      <c r="N360" s="238"/>
      <c r="O360" s="238"/>
      <c r="P360" s="238"/>
      <c r="Q360" s="238"/>
      <c r="R360" s="238"/>
      <c r="S360" s="238"/>
      <c r="T360" s="238"/>
      <c r="U360" s="238">
        <v>20</v>
      </c>
      <c r="V360" s="238"/>
      <c r="W360" s="238"/>
      <c r="X360" s="238"/>
      <c r="Y360" s="238"/>
      <c r="Z360" s="238"/>
      <c r="AA360" s="238"/>
      <c r="AB360" s="238"/>
      <c r="AC360" s="238">
        <v>2</v>
      </c>
      <c r="AD360" s="238"/>
      <c r="AE360" s="238">
        <v>53</v>
      </c>
      <c r="AF360" s="238">
        <v>0.16630024199999999</v>
      </c>
      <c r="AG360" s="238">
        <v>810</v>
      </c>
      <c r="AH360" s="238"/>
      <c r="AI360" s="238"/>
      <c r="AJ360" s="238"/>
      <c r="AK360" s="238" t="s">
        <v>769</v>
      </c>
      <c r="AL360" s="238" t="s">
        <v>597</v>
      </c>
      <c r="AM360" s="238">
        <v>310.36672750000002</v>
      </c>
      <c r="AN360" s="238"/>
      <c r="AO360" s="238"/>
      <c r="AP360" s="238"/>
      <c r="AQ360" s="238"/>
      <c r="AR360" s="238"/>
      <c r="AS360" s="238"/>
      <c r="AT360" s="238"/>
      <c r="AU360" s="238"/>
      <c r="AV360" s="238"/>
      <c r="AW360" s="238">
        <v>1180000</v>
      </c>
      <c r="AX360" s="238"/>
      <c r="AY360" s="238">
        <v>23600000</v>
      </c>
      <c r="AZ360" s="238">
        <v>29135802.469135799</v>
      </c>
      <c r="BA360" s="238"/>
      <c r="BB360" s="238"/>
      <c r="BC360" s="238"/>
      <c r="BD360" s="238"/>
      <c r="BE360" s="238"/>
    </row>
    <row r="361" spans="1:57">
      <c r="A361" s="237" t="s">
        <v>661</v>
      </c>
      <c r="B361" s="237" t="s">
        <v>465</v>
      </c>
      <c r="C361" s="237">
        <v>2013</v>
      </c>
      <c r="D361" s="237"/>
      <c r="E361" s="237">
        <v>2013</v>
      </c>
      <c r="F361" s="237" t="s">
        <v>27</v>
      </c>
      <c r="G361" s="237" t="s">
        <v>81</v>
      </c>
      <c r="H361" s="237">
        <v>810</v>
      </c>
      <c r="I361" s="237">
        <v>1</v>
      </c>
      <c r="J361" s="237"/>
      <c r="K361" s="237"/>
      <c r="L361" s="237"/>
      <c r="M361" s="237">
        <v>80</v>
      </c>
      <c r="N361" s="237"/>
      <c r="O361" s="237"/>
      <c r="P361" s="237"/>
      <c r="Q361" s="237"/>
      <c r="R361" s="237"/>
      <c r="S361" s="237"/>
      <c r="T361" s="237"/>
      <c r="U361" s="237">
        <v>20</v>
      </c>
      <c r="V361" s="237"/>
      <c r="W361" s="237"/>
      <c r="X361" s="237"/>
      <c r="Y361" s="237"/>
      <c r="Z361" s="237"/>
      <c r="AA361" s="237"/>
      <c r="AB361" s="237"/>
      <c r="AC361" s="237">
        <v>1.58</v>
      </c>
      <c r="AD361" s="237"/>
      <c r="AE361" s="237">
        <v>53</v>
      </c>
      <c r="AF361" s="237">
        <v>0.212807937</v>
      </c>
      <c r="AG361" s="237">
        <v>810</v>
      </c>
      <c r="AH361" s="237"/>
      <c r="AI361" s="237"/>
      <c r="AJ361" s="237"/>
      <c r="AK361" s="237" t="s">
        <v>769</v>
      </c>
      <c r="AL361" s="237" t="s">
        <v>597</v>
      </c>
      <c r="AM361" s="237">
        <v>310.36672750000002</v>
      </c>
      <c r="AN361" s="237"/>
      <c r="AO361" s="237"/>
      <c r="AP361" s="237"/>
      <c r="AQ361" s="237"/>
      <c r="AR361" s="237"/>
      <c r="AS361" s="237"/>
      <c r="AT361" s="237"/>
      <c r="AU361" s="237"/>
      <c r="AV361" s="237"/>
      <c r="AW361" s="237">
        <v>1510000</v>
      </c>
      <c r="AX361" s="237"/>
      <c r="AY361" s="237">
        <v>30200000</v>
      </c>
      <c r="AZ361" s="237">
        <v>37283950.617284</v>
      </c>
      <c r="BA361" s="237"/>
      <c r="BB361" s="237"/>
      <c r="BC361" s="237"/>
      <c r="BD361" s="237"/>
      <c r="BE361" s="237"/>
    </row>
    <row r="362" spans="1:57">
      <c r="A362" s="238" t="s">
        <v>661</v>
      </c>
      <c r="B362" s="238" t="s">
        <v>465</v>
      </c>
      <c r="C362" s="238">
        <v>2013</v>
      </c>
      <c r="D362" s="238"/>
      <c r="E362" s="238">
        <v>2013</v>
      </c>
      <c r="F362" s="238" t="s">
        <v>27</v>
      </c>
      <c r="G362" s="238" t="s">
        <v>81</v>
      </c>
      <c r="H362" s="238">
        <v>810</v>
      </c>
      <c r="I362" s="238">
        <v>1</v>
      </c>
      <c r="J362" s="238"/>
      <c r="K362" s="238"/>
      <c r="L362" s="238"/>
      <c r="M362" s="238">
        <v>100</v>
      </c>
      <c r="N362" s="238"/>
      <c r="O362" s="238"/>
      <c r="P362" s="238"/>
      <c r="Q362" s="238"/>
      <c r="R362" s="238"/>
      <c r="S362" s="238"/>
      <c r="T362" s="238"/>
      <c r="U362" s="238">
        <v>20</v>
      </c>
      <c r="V362" s="238"/>
      <c r="W362" s="238"/>
      <c r="X362" s="238"/>
      <c r="Y362" s="238"/>
      <c r="Z362" s="238"/>
      <c r="AA362" s="238"/>
      <c r="AB362" s="238"/>
      <c r="AC362" s="238">
        <v>1.5</v>
      </c>
      <c r="AD362" s="238"/>
      <c r="AE362" s="238">
        <v>53</v>
      </c>
      <c r="AF362" s="238">
        <v>0.235357123</v>
      </c>
      <c r="AG362" s="238">
        <v>810</v>
      </c>
      <c r="AH362" s="238"/>
      <c r="AI362" s="238"/>
      <c r="AJ362" s="238"/>
      <c r="AK362" s="238" t="s">
        <v>769</v>
      </c>
      <c r="AL362" s="238" t="s">
        <v>597</v>
      </c>
      <c r="AM362" s="238">
        <v>310.36672750000002</v>
      </c>
      <c r="AN362" s="238"/>
      <c r="AO362" s="238"/>
      <c r="AP362" s="238"/>
      <c r="AQ362" s="238"/>
      <c r="AR362" s="238"/>
      <c r="AS362" s="238"/>
      <c r="AT362" s="238"/>
      <c r="AU362" s="238"/>
      <c r="AV362" s="238"/>
      <c r="AW362" s="238">
        <v>1670000</v>
      </c>
      <c r="AX362" s="238"/>
      <c r="AY362" s="238">
        <v>33400000</v>
      </c>
      <c r="AZ362" s="238">
        <v>41234567.901234597</v>
      </c>
      <c r="BA362" s="238"/>
      <c r="BB362" s="238"/>
      <c r="BC362" s="238"/>
      <c r="BD362" s="238"/>
      <c r="BE362" s="238"/>
    </row>
    <row r="363" spans="1:57">
      <c r="A363" s="237" t="s">
        <v>661</v>
      </c>
      <c r="B363" s="237" t="s">
        <v>465</v>
      </c>
      <c r="C363" s="237">
        <v>2013</v>
      </c>
      <c r="D363" s="237"/>
      <c r="E363" s="237">
        <v>2013</v>
      </c>
      <c r="F363" s="237" t="s">
        <v>27</v>
      </c>
      <c r="G363" s="237" t="s">
        <v>81</v>
      </c>
      <c r="H363" s="237">
        <v>2050</v>
      </c>
      <c r="I363" s="237">
        <v>1</v>
      </c>
      <c r="J363" s="237"/>
      <c r="K363" s="237"/>
      <c r="L363" s="237"/>
      <c r="M363" s="237">
        <v>50</v>
      </c>
      <c r="N363" s="237"/>
      <c r="O363" s="237"/>
      <c r="P363" s="237"/>
      <c r="Q363" s="237"/>
      <c r="R363" s="237"/>
      <c r="S363" s="237"/>
      <c r="T363" s="237"/>
      <c r="U363" s="237">
        <v>20</v>
      </c>
      <c r="V363" s="237"/>
      <c r="W363" s="237"/>
      <c r="X363" s="237"/>
      <c r="Y363" s="237"/>
      <c r="Z363" s="237"/>
      <c r="AA363" s="237"/>
      <c r="AB363" s="237"/>
      <c r="AC363" s="237">
        <v>1.5</v>
      </c>
      <c r="AD363" s="237"/>
      <c r="AE363" s="237">
        <v>82</v>
      </c>
      <c r="AF363" s="237">
        <v>0.153135093</v>
      </c>
      <c r="AG363" s="237">
        <v>2050</v>
      </c>
      <c r="AH363" s="237"/>
      <c r="AI363" s="237"/>
      <c r="AJ363" s="237"/>
      <c r="AK363" s="237" t="s">
        <v>769</v>
      </c>
      <c r="AL363" s="237" t="s">
        <v>597</v>
      </c>
      <c r="AM363" s="237">
        <v>310.36672750000002</v>
      </c>
      <c r="AN363" s="237"/>
      <c r="AO363" s="237"/>
      <c r="AP363" s="237"/>
      <c r="AQ363" s="237"/>
      <c r="AR363" s="237"/>
      <c r="AS363" s="237"/>
      <c r="AT363" s="237"/>
      <c r="AU363" s="237"/>
      <c r="AV363" s="237"/>
      <c r="AW363" s="237">
        <v>2750000</v>
      </c>
      <c r="AX363" s="237"/>
      <c r="AY363" s="237">
        <v>55000000</v>
      </c>
      <c r="AZ363" s="237">
        <v>26829268.292682901</v>
      </c>
      <c r="BA363" s="237"/>
      <c r="BB363" s="237"/>
      <c r="BC363" s="237"/>
      <c r="BD363" s="237"/>
      <c r="BE363" s="237"/>
    </row>
    <row r="364" spans="1:57">
      <c r="A364" s="238" t="s">
        <v>661</v>
      </c>
      <c r="B364" s="238" t="s">
        <v>465</v>
      </c>
      <c r="C364" s="238">
        <v>2013</v>
      </c>
      <c r="D364" s="238"/>
      <c r="E364" s="238">
        <v>2013</v>
      </c>
      <c r="F364" s="238" t="s">
        <v>27</v>
      </c>
      <c r="G364" s="238" t="s">
        <v>81</v>
      </c>
      <c r="H364" s="238">
        <v>2050</v>
      </c>
      <c r="I364" s="238">
        <v>1</v>
      </c>
      <c r="J364" s="238"/>
      <c r="K364" s="238"/>
      <c r="L364" s="238"/>
      <c r="M364" s="238">
        <v>80</v>
      </c>
      <c r="N364" s="238"/>
      <c r="O364" s="238"/>
      <c r="P364" s="238"/>
      <c r="Q364" s="238"/>
      <c r="R364" s="238"/>
      <c r="S364" s="238"/>
      <c r="T364" s="238"/>
      <c r="U364" s="238">
        <v>20</v>
      </c>
      <c r="V364" s="238"/>
      <c r="W364" s="238"/>
      <c r="X364" s="238"/>
      <c r="Y364" s="238"/>
      <c r="Z364" s="238"/>
      <c r="AA364" s="238"/>
      <c r="AB364" s="238"/>
      <c r="AC364" s="238">
        <v>1.25</v>
      </c>
      <c r="AD364" s="238"/>
      <c r="AE364" s="238">
        <v>82</v>
      </c>
      <c r="AF364" s="238">
        <v>0.19824033899999999</v>
      </c>
      <c r="AG364" s="238">
        <v>2050</v>
      </c>
      <c r="AH364" s="238"/>
      <c r="AI364" s="238"/>
      <c r="AJ364" s="238"/>
      <c r="AK364" s="238" t="s">
        <v>769</v>
      </c>
      <c r="AL364" s="238" t="s">
        <v>597</v>
      </c>
      <c r="AM364" s="238">
        <v>310.36672750000002</v>
      </c>
      <c r="AN364" s="238"/>
      <c r="AO364" s="238"/>
      <c r="AP364" s="238"/>
      <c r="AQ364" s="238"/>
      <c r="AR364" s="238"/>
      <c r="AS364" s="238"/>
      <c r="AT364" s="238"/>
      <c r="AU364" s="238"/>
      <c r="AV364" s="238"/>
      <c r="AW364" s="238">
        <v>3560000</v>
      </c>
      <c r="AX364" s="238"/>
      <c r="AY364" s="238">
        <v>71200000</v>
      </c>
      <c r="AZ364" s="238">
        <v>34731707.317073204</v>
      </c>
      <c r="BA364" s="238"/>
      <c r="BB364" s="238"/>
      <c r="BC364" s="238"/>
      <c r="BD364" s="238"/>
      <c r="BE364" s="238"/>
    </row>
    <row r="365" spans="1:57">
      <c r="A365" s="237" t="s">
        <v>661</v>
      </c>
      <c r="B365" s="237" t="s">
        <v>465</v>
      </c>
      <c r="C365" s="237">
        <v>2013</v>
      </c>
      <c r="D365" s="237"/>
      <c r="E365" s="237">
        <v>2013</v>
      </c>
      <c r="F365" s="237" t="s">
        <v>27</v>
      </c>
      <c r="G365" s="237" t="s">
        <v>81</v>
      </c>
      <c r="H365" s="237">
        <v>2050</v>
      </c>
      <c r="I365" s="237">
        <v>1</v>
      </c>
      <c r="J365" s="237"/>
      <c r="K365" s="237"/>
      <c r="L365" s="237"/>
      <c r="M365" s="237">
        <v>100</v>
      </c>
      <c r="N365" s="237">
        <v>8.4600000000000009</v>
      </c>
      <c r="O365" s="237"/>
      <c r="P365" s="237">
        <v>2.35</v>
      </c>
      <c r="Q365" s="237"/>
      <c r="R365" s="237"/>
      <c r="S365" s="237"/>
      <c r="T365" s="237"/>
      <c r="U365" s="237">
        <v>20</v>
      </c>
      <c r="V365" s="237"/>
      <c r="W365" s="237"/>
      <c r="X365" s="237"/>
      <c r="Y365" s="237"/>
      <c r="Z365" s="237"/>
      <c r="AA365" s="237"/>
      <c r="AB365" s="237"/>
      <c r="AC365" s="237">
        <v>1.22</v>
      </c>
      <c r="AD365" s="237"/>
      <c r="AE365" s="237">
        <v>82</v>
      </c>
      <c r="AF365" s="237">
        <v>0.22051453400000001</v>
      </c>
      <c r="AG365" s="237">
        <v>2050</v>
      </c>
      <c r="AH365" s="237">
        <v>17344800</v>
      </c>
      <c r="AI365" s="237"/>
      <c r="AJ365" s="237"/>
      <c r="AK365" s="237" t="s">
        <v>769</v>
      </c>
      <c r="AL365" s="237" t="s">
        <v>597</v>
      </c>
      <c r="AM365" s="237">
        <v>310.36672750000002</v>
      </c>
      <c r="AN365" s="237"/>
      <c r="AO365" s="237"/>
      <c r="AP365" s="237"/>
      <c r="AQ365" s="237">
        <v>4818000</v>
      </c>
      <c r="AR365" s="237"/>
      <c r="AS365" s="237"/>
      <c r="AT365" s="237"/>
      <c r="AU365" s="237"/>
      <c r="AV365" s="237"/>
      <c r="AW365" s="237">
        <v>3960000</v>
      </c>
      <c r="AX365" s="237"/>
      <c r="AY365" s="237">
        <v>79200000</v>
      </c>
      <c r="AZ365" s="237">
        <v>38634146.341463402</v>
      </c>
      <c r="BA365" s="237"/>
      <c r="BB365" s="237">
        <v>6.0999999999999999E-2</v>
      </c>
      <c r="BC365" s="237"/>
      <c r="BD365" s="237"/>
      <c r="BE365" s="237"/>
    </row>
    <row r="366" spans="1:57">
      <c r="A366" s="238" t="s">
        <v>661</v>
      </c>
      <c r="B366" s="238" t="s">
        <v>465</v>
      </c>
      <c r="C366" s="238">
        <v>2013</v>
      </c>
      <c r="D366" s="238"/>
      <c r="E366" s="238">
        <v>2013</v>
      </c>
      <c r="F366" s="238" t="s">
        <v>27</v>
      </c>
      <c r="G366" s="238" t="s">
        <v>81</v>
      </c>
      <c r="H366" s="238">
        <v>3020</v>
      </c>
      <c r="I366" s="238">
        <v>1</v>
      </c>
      <c r="J366" s="238"/>
      <c r="K366" s="238"/>
      <c r="L366" s="238"/>
      <c r="M366" s="238">
        <v>50</v>
      </c>
      <c r="N366" s="238"/>
      <c r="O366" s="238"/>
      <c r="P366" s="238"/>
      <c r="Q366" s="238"/>
      <c r="R366" s="238"/>
      <c r="S366" s="238"/>
      <c r="T366" s="238"/>
      <c r="U366" s="238">
        <v>20</v>
      </c>
      <c r="V366" s="238"/>
      <c r="W366" s="238"/>
      <c r="X366" s="238"/>
      <c r="Y366" s="238"/>
      <c r="Z366" s="238"/>
      <c r="AA366" s="238"/>
      <c r="AB366" s="238"/>
      <c r="AC366" s="238">
        <v>2.25</v>
      </c>
      <c r="AD366" s="238"/>
      <c r="AE366" s="238">
        <v>82</v>
      </c>
      <c r="AF366" s="238">
        <v>0.103193323</v>
      </c>
      <c r="AG366" s="238">
        <v>3020</v>
      </c>
      <c r="AH366" s="238"/>
      <c r="AI366" s="238"/>
      <c r="AJ366" s="238"/>
      <c r="AK366" s="238" t="s">
        <v>769</v>
      </c>
      <c r="AL366" s="238" t="s">
        <v>597</v>
      </c>
      <c r="AM366" s="238">
        <v>310.36672750000002</v>
      </c>
      <c r="AN366" s="238"/>
      <c r="AO366" s="238"/>
      <c r="AP366" s="238"/>
      <c r="AQ366" s="238"/>
      <c r="AR366" s="238"/>
      <c r="AS366" s="238"/>
      <c r="AT366" s="238"/>
      <c r="AU366" s="238"/>
      <c r="AV366" s="238"/>
      <c r="AW366" s="238">
        <v>2730000</v>
      </c>
      <c r="AX366" s="238"/>
      <c r="AY366" s="238">
        <v>54600000</v>
      </c>
      <c r="AZ366" s="238">
        <v>18079470.198675498</v>
      </c>
      <c r="BA366" s="238"/>
      <c r="BB366" s="238"/>
      <c r="BC366" s="238"/>
      <c r="BD366" s="238"/>
      <c r="BE366" s="238"/>
    </row>
    <row r="367" spans="1:57">
      <c r="A367" s="237" t="s">
        <v>661</v>
      </c>
      <c r="B367" s="237" t="s">
        <v>465</v>
      </c>
      <c r="C367" s="237">
        <v>2013</v>
      </c>
      <c r="D367" s="237"/>
      <c r="E367" s="237">
        <v>2013</v>
      </c>
      <c r="F367" s="237" t="s">
        <v>27</v>
      </c>
      <c r="G367" s="237" t="s">
        <v>81</v>
      </c>
      <c r="H367" s="237">
        <v>3020</v>
      </c>
      <c r="I367" s="237">
        <v>1</v>
      </c>
      <c r="J367" s="237"/>
      <c r="K367" s="237"/>
      <c r="L367" s="237"/>
      <c r="M367" s="237">
        <v>80</v>
      </c>
      <c r="N367" s="237"/>
      <c r="O367" s="237"/>
      <c r="P367" s="237"/>
      <c r="Q367" s="237"/>
      <c r="R367" s="237"/>
      <c r="S367" s="237"/>
      <c r="T367" s="237"/>
      <c r="U367" s="237">
        <v>20</v>
      </c>
      <c r="V367" s="237"/>
      <c r="W367" s="237"/>
      <c r="X367" s="237"/>
      <c r="Y367" s="237"/>
      <c r="Z367" s="237"/>
      <c r="AA367" s="237"/>
      <c r="AB367" s="237"/>
      <c r="AC367" s="237">
        <v>1.83</v>
      </c>
      <c r="AD367" s="237"/>
      <c r="AE367" s="237">
        <v>82</v>
      </c>
      <c r="AF367" s="237">
        <v>0.13456711700000001</v>
      </c>
      <c r="AG367" s="237">
        <v>3020</v>
      </c>
      <c r="AH367" s="237"/>
      <c r="AI367" s="237"/>
      <c r="AJ367" s="237"/>
      <c r="AK367" s="237" t="s">
        <v>769</v>
      </c>
      <c r="AL367" s="237" t="s">
        <v>597</v>
      </c>
      <c r="AM367" s="237">
        <v>310.36672750000002</v>
      </c>
      <c r="AN367" s="237"/>
      <c r="AO367" s="237"/>
      <c r="AP367" s="237"/>
      <c r="AQ367" s="237"/>
      <c r="AR367" s="237"/>
      <c r="AS367" s="237"/>
      <c r="AT367" s="237"/>
      <c r="AU367" s="237"/>
      <c r="AV367" s="237"/>
      <c r="AW367" s="237">
        <v>3560000</v>
      </c>
      <c r="AX367" s="237"/>
      <c r="AY367" s="237">
        <v>71200000</v>
      </c>
      <c r="AZ367" s="237">
        <v>23576158.9403974</v>
      </c>
      <c r="BA367" s="237"/>
      <c r="BB367" s="237"/>
      <c r="BC367" s="237"/>
      <c r="BD367" s="237"/>
      <c r="BE367" s="237"/>
    </row>
    <row r="368" spans="1:57">
      <c r="A368" s="238" t="s">
        <v>661</v>
      </c>
      <c r="B368" s="238" t="s">
        <v>465</v>
      </c>
      <c r="C368" s="238">
        <v>2013</v>
      </c>
      <c r="D368" s="238"/>
      <c r="E368" s="238">
        <v>2013</v>
      </c>
      <c r="F368" s="238" t="s">
        <v>27</v>
      </c>
      <c r="G368" s="238" t="s">
        <v>81</v>
      </c>
      <c r="H368" s="238">
        <v>3020</v>
      </c>
      <c r="I368" s="238">
        <v>1</v>
      </c>
      <c r="J368" s="238"/>
      <c r="K368" s="238"/>
      <c r="L368" s="238"/>
      <c r="M368" s="238">
        <v>100</v>
      </c>
      <c r="N368" s="238"/>
      <c r="O368" s="238"/>
      <c r="P368" s="238"/>
      <c r="Q368" s="238"/>
      <c r="R368" s="238"/>
      <c r="S368" s="238"/>
      <c r="T368" s="238"/>
      <c r="U368" s="238">
        <v>20</v>
      </c>
      <c r="V368" s="238"/>
      <c r="W368" s="238"/>
      <c r="X368" s="238"/>
      <c r="Y368" s="238"/>
      <c r="Z368" s="238"/>
      <c r="AA368" s="238"/>
      <c r="AB368" s="238"/>
      <c r="AC368" s="238">
        <v>1.75</v>
      </c>
      <c r="AD368" s="238"/>
      <c r="AE368" s="238">
        <v>82</v>
      </c>
      <c r="AF368" s="238">
        <v>0.150821011</v>
      </c>
      <c r="AG368" s="238">
        <v>3020</v>
      </c>
      <c r="AH368" s="238"/>
      <c r="AI368" s="238"/>
      <c r="AJ368" s="238"/>
      <c r="AK368" s="238" t="s">
        <v>769</v>
      </c>
      <c r="AL368" s="238" t="s">
        <v>597</v>
      </c>
      <c r="AM368" s="238">
        <v>310.36672750000002</v>
      </c>
      <c r="AN368" s="238"/>
      <c r="AO368" s="238"/>
      <c r="AP368" s="238"/>
      <c r="AQ368" s="238"/>
      <c r="AR368" s="238"/>
      <c r="AS368" s="238"/>
      <c r="AT368" s="238"/>
      <c r="AU368" s="238"/>
      <c r="AV368" s="238"/>
      <c r="AW368" s="238">
        <v>3990000</v>
      </c>
      <c r="AX368" s="238"/>
      <c r="AY368" s="238">
        <v>79800000</v>
      </c>
      <c r="AZ368" s="238">
        <v>26423841.0596026</v>
      </c>
      <c r="BA368" s="238"/>
      <c r="BB368" s="238"/>
      <c r="BC368" s="238"/>
      <c r="BD368" s="238"/>
      <c r="BE368" s="238"/>
    </row>
    <row r="369" spans="1:57">
      <c r="A369" s="238" t="s">
        <v>660</v>
      </c>
      <c r="B369" s="238" t="s">
        <v>175</v>
      </c>
      <c r="C369" s="238">
        <v>2013</v>
      </c>
      <c r="D369" s="238"/>
      <c r="E369" s="238">
        <v>2013</v>
      </c>
      <c r="F369" s="238" t="s">
        <v>27</v>
      </c>
      <c r="G369" s="238" t="s">
        <v>30</v>
      </c>
      <c r="H369" s="238">
        <v>6</v>
      </c>
      <c r="I369" s="238">
        <v>1</v>
      </c>
      <c r="J369" s="238"/>
      <c r="K369" s="238" t="s">
        <v>470</v>
      </c>
      <c r="L369" s="238" t="s">
        <v>24</v>
      </c>
      <c r="M369" s="238">
        <v>9</v>
      </c>
      <c r="N369" s="238">
        <v>29.9</v>
      </c>
      <c r="O369" s="238"/>
      <c r="P369" s="238">
        <v>8.31</v>
      </c>
      <c r="Q369" s="238"/>
      <c r="R369" s="238"/>
      <c r="S369" s="238"/>
      <c r="T369" s="238"/>
      <c r="U369" s="238">
        <v>20</v>
      </c>
      <c r="V369" s="238"/>
      <c r="W369" s="238"/>
      <c r="X369" s="238"/>
      <c r="Y369" s="238"/>
      <c r="Z369" s="238"/>
      <c r="AA369" s="238"/>
      <c r="AB369" s="238"/>
      <c r="AC369" s="238">
        <v>6.39</v>
      </c>
      <c r="AD369" s="238" t="s">
        <v>22</v>
      </c>
      <c r="AE369" s="238">
        <v>5.5</v>
      </c>
      <c r="AF369" s="238">
        <v>0.14840182599999999</v>
      </c>
      <c r="AG369" s="238">
        <v>6</v>
      </c>
      <c r="AH369" s="238">
        <v>179400</v>
      </c>
      <c r="AI369" s="238"/>
      <c r="AJ369" s="238"/>
      <c r="AK369" s="238" t="s">
        <v>769</v>
      </c>
      <c r="AL369" s="238" t="s">
        <v>597</v>
      </c>
      <c r="AM369" s="238">
        <v>310.36672750000002</v>
      </c>
      <c r="AN369" s="238"/>
      <c r="AO369" s="238" t="s">
        <v>356</v>
      </c>
      <c r="AP369" s="238"/>
      <c r="AQ369" s="238">
        <v>49833</v>
      </c>
      <c r="AR369" s="238"/>
      <c r="AS369" s="238"/>
      <c r="AT369" s="238"/>
      <c r="AU369" s="238"/>
      <c r="AV369" s="238"/>
      <c r="AW369" s="238">
        <v>7800</v>
      </c>
      <c r="AX369" s="238"/>
      <c r="AY369" s="238">
        <v>156000</v>
      </c>
      <c r="AZ369" s="238">
        <v>26000000</v>
      </c>
      <c r="BA369" s="238"/>
      <c r="BB369" s="238">
        <v>0.31900000000000001</v>
      </c>
      <c r="BC369" s="238"/>
      <c r="BD369" s="238"/>
      <c r="BE369" s="238"/>
    </row>
    <row r="370" spans="1:57">
      <c r="A370" s="237" t="s">
        <v>660</v>
      </c>
      <c r="B370" s="237" t="s">
        <v>175</v>
      </c>
      <c r="C370" s="237">
        <v>2013</v>
      </c>
      <c r="D370" s="237"/>
      <c r="E370" s="237">
        <v>2013</v>
      </c>
      <c r="F370" s="237" t="s">
        <v>27</v>
      </c>
      <c r="G370" s="237" t="s">
        <v>30</v>
      </c>
      <c r="H370" s="237">
        <v>6</v>
      </c>
      <c r="I370" s="237">
        <v>1</v>
      </c>
      <c r="J370" s="237"/>
      <c r="K370" s="237" t="s">
        <v>470</v>
      </c>
      <c r="L370" s="237" t="s">
        <v>24</v>
      </c>
      <c r="M370" s="237">
        <v>9</v>
      </c>
      <c r="N370" s="237">
        <v>29.9</v>
      </c>
      <c r="O370" s="237"/>
      <c r="P370" s="237">
        <v>8.31</v>
      </c>
      <c r="Q370" s="237"/>
      <c r="R370" s="237"/>
      <c r="S370" s="237"/>
      <c r="T370" s="237"/>
      <c r="U370" s="237">
        <v>20</v>
      </c>
      <c r="V370" s="237"/>
      <c r="W370" s="237"/>
      <c r="X370" s="237"/>
      <c r="Y370" s="237"/>
      <c r="Z370" s="237"/>
      <c r="AA370" s="237"/>
      <c r="AB370" s="237"/>
      <c r="AC370" s="237">
        <v>5.19</v>
      </c>
      <c r="AD370" s="237" t="s">
        <v>22</v>
      </c>
      <c r="AE370" s="237">
        <v>5.5</v>
      </c>
      <c r="AF370" s="237">
        <v>0.18264840199999999</v>
      </c>
      <c r="AG370" s="237">
        <v>6</v>
      </c>
      <c r="AH370" s="237">
        <v>179400</v>
      </c>
      <c r="AI370" s="237"/>
      <c r="AJ370" s="237"/>
      <c r="AK370" s="237" t="s">
        <v>769</v>
      </c>
      <c r="AL370" s="237" t="s">
        <v>597</v>
      </c>
      <c r="AM370" s="237">
        <v>310.36672750000002</v>
      </c>
      <c r="AN370" s="237"/>
      <c r="AO370" s="237" t="s">
        <v>356</v>
      </c>
      <c r="AP370" s="237"/>
      <c r="AQ370" s="237">
        <v>49833</v>
      </c>
      <c r="AR370" s="237"/>
      <c r="AS370" s="237"/>
      <c r="AT370" s="237"/>
      <c r="AU370" s="237"/>
      <c r="AV370" s="237"/>
      <c r="AW370" s="237">
        <v>9600</v>
      </c>
      <c r="AX370" s="237"/>
      <c r="AY370" s="237">
        <v>192000</v>
      </c>
      <c r="AZ370" s="237">
        <v>32000000</v>
      </c>
      <c r="BA370" s="237"/>
      <c r="BB370" s="237">
        <v>0.26</v>
      </c>
      <c r="BC370" s="237"/>
      <c r="BD370" s="237"/>
      <c r="BE370" s="237"/>
    </row>
    <row r="371" spans="1:57">
      <c r="A371" s="238" t="s">
        <v>660</v>
      </c>
      <c r="B371" s="238" t="s">
        <v>175</v>
      </c>
      <c r="C371" s="238">
        <v>2013</v>
      </c>
      <c r="D371" s="238"/>
      <c r="E371" s="238">
        <v>2013</v>
      </c>
      <c r="F371" s="238" t="s">
        <v>27</v>
      </c>
      <c r="G371" s="238" t="s">
        <v>30</v>
      </c>
      <c r="H371" s="238">
        <v>6</v>
      </c>
      <c r="I371" s="238">
        <v>1</v>
      </c>
      <c r="J371" s="238"/>
      <c r="K371" s="238" t="s">
        <v>470</v>
      </c>
      <c r="L371" s="238" t="s">
        <v>24</v>
      </c>
      <c r="M371" s="238">
        <v>9</v>
      </c>
      <c r="N371" s="238">
        <v>29.9</v>
      </c>
      <c r="O371" s="238"/>
      <c r="P371" s="238">
        <v>8.31</v>
      </c>
      <c r="Q371" s="238"/>
      <c r="R371" s="238"/>
      <c r="S371" s="238"/>
      <c r="T371" s="238"/>
      <c r="U371" s="238">
        <v>20</v>
      </c>
      <c r="V371" s="238"/>
      <c r="W371" s="238"/>
      <c r="X371" s="238"/>
      <c r="Y371" s="238"/>
      <c r="Z371" s="238"/>
      <c r="AA371" s="238"/>
      <c r="AB371" s="238"/>
      <c r="AC371" s="238">
        <v>4.9800000000000004</v>
      </c>
      <c r="AD371" s="238" t="s">
        <v>22</v>
      </c>
      <c r="AE371" s="238">
        <v>5.5</v>
      </c>
      <c r="AF371" s="238">
        <v>0.190258752</v>
      </c>
      <c r="AG371" s="238">
        <v>6</v>
      </c>
      <c r="AH371" s="238">
        <v>179400</v>
      </c>
      <c r="AI371" s="238"/>
      <c r="AJ371" s="238"/>
      <c r="AK371" s="238" t="s">
        <v>769</v>
      </c>
      <c r="AL371" s="238" t="s">
        <v>597</v>
      </c>
      <c r="AM371" s="238">
        <v>310.36672750000002</v>
      </c>
      <c r="AN371" s="238"/>
      <c r="AO371" s="238" t="s">
        <v>356</v>
      </c>
      <c r="AP371" s="238"/>
      <c r="AQ371" s="238">
        <v>49833</v>
      </c>
      <c r="AR371" s="238"/>
      <c r="AS371" s="238"/>
      <c r="AT371" s="238"/>
      <c r="AU371" s="238"/>
      <c r="AV371" s="238"/>
      <c r="AW371" s="238">
        <v>10000</v>
      </c>
      <c r="AX371" s="238"/>
      <c r="AY371" s="238">
        <v>200000</v>
      </c>
      <c r="AZ371" s="238">
        <v>33333333.333333299</v>
      </c>
      <c r="BA371" s="238"/>
      <c r="BB371" s="238">
        <v>0.249</v>
      </c>
      <c r="BC371" s="238"/>
      <c r="BD371" s="238"/>
      <c r="BE371" s="238"/>
    </row>
    <row r="372" spans="1:57">
      <c r="A372" s="237" t="s">
        <v>660</v>
      </c>
      <c r="B372" s="237" t="s">
        <v>175</v>
      </c>
      <c r="C372" s="237">
        <v>2013</v>
      </c>
      <c r="D372" s="237"/>
      <c r="E372" s="237">
        <v>2013</v>
      </c>
      <c r="F372" s="237" t="s">
        <v>27</v>
      </c>
      <c r="G372" s="237" t="s">
        <v>30</v>
      </c>
      <c r="H372" s="237">
        <v>6</v>
      </c>
      <c r="I372" s="237">
        <v>1</v>
      </c>
      <c r="J372" s="237"/>
      <c r="K372" s="237" t="s">
        <v>470</v>
      </c>
      <c r="L372" s="237" t="s">
        <v>24</v>
      </c>
      <c r="M372" s="237">
        <v>9</v>
      </c>
      <c r="N372" s="237">
        <v>29.9</v>
      </c>
      <c r="O372" s="237"/>
      <c r="P372" s="237">
        <v>8.31</v>
      </c>
      <c r="Q372" s="237"/>
      <c r="R372" s="237"/>
      <c r="S372" s="237"/>
      <c r="T372" s="237"/>
      <c r="U372" s="237">
        <v>20</v>
      </c>
      <c r="V372" s="237"/>
      <c r="W372" s="237"/>
      <c r="X372" s="237"/>
      <c r="Y372" s="237"/>
      <c r="Z372" s="237"/>
      <c r="AA372" s="237"/>
      <c r="AB372" s="237"/>
      <c r="AC372" s="237">
        <v>4.37</v>
      </c>
      <c r="AD372" s="237" t="s">
        <v>22</v>
      </c>
      <c r="AE372" s="237">
        <v>5.5</v>
      </c>
      <c r="AF372" s="237">
        <v>0.21689497699999999</v>
      </c>
      <c r="AG372" s="237">
        <v>6</v>
      </c>
      <c r="AH372" s="237">
        <v>179400</v>
      </c>
      <c r="AI372" s="237"/>
      <c r="AJ372" s="237"/>
      <c r="AK372" s="237" t="s">
        <v>769</v>
      </c>
      <c r="AL372" s="237" t="s">
        <v>597</v>
      </c>
      <c r="AM372" s="237">
        <v>310.36672750000002</v>
      </c>
      <c r="AN372" s="237"/>
      <c r="AO372" s="237" t="s">
        <v>356</v>
      </c>
      <c r="AP372" s="237"/>
      <c r="AQ372" s="237">
        <v>49833</v>
      </c>
      <c r="AR372" s="237"/>
      <c r="AS372" s="237"/>
      <c r="AT372" s="237"/>
      <c r="AU372" s="237"/>
      <c r="AV372" s="237"/>
      <c r="AW372" s="237">
        <v>11400</v>
      </c>
      <c r="AX372" s="237"/>
      <c r="AY372" s="237">
        <v>228000</v>
      </c>
      <c r="AZ372" s="237">
        <v>38000000</v>
      </c>
      <c r="BA372" s="237"/>
      <c r="BB372" s="237">
        <v>0.219</v>
      </c>
      <c r="BC372" s="237"/>
      <c r="BD372" s="237"/>
      <c r="BE372" s="237"/>
    </row>
    <row r="373" spans="1:57">
      <c r="A373" s="238" t="s">
        <v>660</v>
      </c>
      <c r="B373" s="238" t="s">
        <v>175</v>
      </c>
      <c r="C373" s="238">
        <v>2013</v>
      </c>
      <c r="D373" s="238"/>
      <c r="E373" s="238">
        <v>2013</v>
      </c>
      <c r="F373" s="238" t="s">
        <v>27</v>
      </c>
      <c r="G373" s="238" t="s">
        <v>30</v>
      </c>
      <c r="H373" s="238">
        <v>6</v>
      </c>
      <c r="I373" s="238">
        <v>1</v>
      </c>
      <c r="J373" s="238"/>
      <c r="K373" s="238" t="s">
        <v>470</v>
      </c>
      <c r="L373" s="238" t="s">
        <v>24</v>
      </c>
      <c r="M373" s="238">
        <v>9</v>
      </c>
      <c r="N373" s="238">
        <v>29.9</v>
      </c>
      <c r="O373" s="238"/>
      <c r="P373" s="238">
        <v>8.31</v>
      </c>
      <c r="Q373" s="238"/>
      <c r="R373" s="238"/>
      <c r="S373" s="238"/>
      <c r="T373" s="238"/>
      <c r="U373" s="238">
        <v>20</v>
      </c>
      <c r="V373" s="238"/>
      <c r="W373" s="238"/>
      <c r="X373" s="238"/>
      <c r="Y373" s="238"/>
      <c r="Z373" s="238"/>
      <c r="AA373" s="238"/>
      <c r="AB373" s="238"/>
      <c r="AC373" s="238">
        <v>3.96</v>
      </c>
      <c r="AD373" s="238" t="s">
        <v>22</v>
      </c>
      <c r="AE373" s="238">
        <v>5.5</v>
      </c>
      <c r="AF373" s="238">
        <v>0.23972602700000001</v>
      </c>
      <c r="AG373" s="238">
        <v>6</v>
      </c>
      <c r="AH373" s="238">
        <v>179400</v>
      </c>
      <c r="AI373" s="238"/>
      <c r="AJ373" s="238"/>
      <c r="AK373" s="238" t="s">
        <v>769</v>
      </c>
      <c r="AL373" s="238" t="s">
        <v>597</v>
      </c>
      <c r="AM373" s="238">
        <v>310.36672750000002</v>
      </c>
      <c r="AN373" s="238"/>
      <c r="AO373" s="238" t="s">
        <v>356</v>
      </c>
      <c r="AP373" s="238"/>
      <c r="AQ373" s="238">
        <v>49833</v>
      </c>
      <c r="AR373" s="238"/>
      <c r="AS373" s="238"/>
      <c r="AT373" s="238"/>
      <c r="AU373" s="238"/>
      <c r="AV373" s="238"/>
      <c r="AW373" s="238">
        <v>12600</v>
      </c>
      <c r="AX373" s="238"/>
      <c r="AY373" s="238">
        <v>252000</v>
      </c>
      <c r="AZ373" s="238">
        <v>42000000</v>
      </c>
      <c r="BA373" s="238"/>
      <c r="BB373" s="238">
        <v>0.19800000000000001</v>
      </c>
      <c r="BC373" s="238"/>
      <c r="BD373" s="238"/>
      <c r="BE373" s="238"/>
    </row>
    <row r="374" spans="1:57">
      <c r="A374" s="237" t="s">
        <v>660</v>
      </c>
      <c r="B374" s="237" t="s">
        <v>175</v>
      </c>
      <c r="C374" s="237">
        <v>2013</v>
      </c>
      <c r="D374" s="237"/>
      <c r="E374" s="237">
        <v>2013</v>
      </c>
      <c r="F374" s="237" t="s">
        <v>27</v>
      </c>
      <c r="G374" s="237" t="s">
        <v>30</v>
      </c>
      <c r="H374" s="237">
        <v>6</v>
      </c>
      <c r="I374" s="237">
        <v>1</v>
      </c>
      <c r="J374" s="237"/>
      <c r="K374" s="237" t="s">
        <v>470</v>
      </c>
      <c r="L374" s="237" t="s">
        <v>24</v>
      </c>
      <c r="M374" s="237">
        <v>9</v>
      </c>
      <c r="N374" s="237">
        <v>29.9</v>
      </c>
      <c r="O374" s="237"/>
      <c r="P374" s="237">
        <v>8.31</v>
      </c>
      <c r="Q374" s="237"/>
      <c r="R374" s="237"/>
      <c r="S374" s="237"/>
      <c r="T374" s="237"/>
      <c r="U374" s="237">
        <v>20</v>
      </c>
      <c r="V374" s="237"/>
      <c r="W374" s="237"/>
      <c r="X374" s="237"/>
      <c r="Y374" s="237"/>
      <c r="Z374" s="237"/>
      <c r="AA374" s="237"/>
      <c r="AB374" s="237"/>
      <c r="AC374" s="237">
        <v>3.46</v>
      </c>
      <c r="AD374" s="237" t="s">
        <v>22</v>
      </c>
      <c r="AE374" s="237">
        <v>5.5</v>
      </c>
      <c r="AF374" s="237">
        <v>0.27397260299999998</v>
      </c>
      <c r="AG374" s="237">
        <v>6</v>
      </c>
      <c r="AH374" s="237">
        <v>179400</v>
      </c>
      <c r="AI374" s="237"/>
      <c r="AJ374" s="237"/>
      <c r="AK374" s="237" t="s">
        <v>769</v>
      </c>
      <c r="AL374" s="237" t="s">
        <v>597</v>
      </c>
      <c r="AM374" s="237">
        <v>310.36672750000002</v>
      </c>
      <c r="AN374" s="237"/>
      <c r="AO374" s="237" t="s">
        <v>356</v>
      </c>
      <c r="AP374" s="237"/>
      <c r="AQ374" s="237">
        <v>49833</v>
      </c>
      <c r="AR374" s="237"/>
      <c r="AS374" s="237"/>
      <c r="AT374" s="237"/>
      <c r="AU374" s="237"/>
      <c r="AV374" s="237"/>
      <c r="AW374" s="237">
        <v>14400</v>
      </c>
      <c r="AX374" s="237"/>
      <c r="AY374" s="237">
        <v>288000</v>
      </c>
      <c r="AZ374" s="237">
        <v>48000000</v>
      </c>
      <c r="BA374" s="237"/>
      <c r="BB374" s="237">
        <v>0.17299999999999999</v>
      </c>
      <c r="BC374" s="237"/>
      <c r="BD374" s="237"/>
      <c r="BE374" s="237"/>
    </row>
    <row r="375" spans="1:57">
      <c r="A375" s="238" t="s">
        <v>660</v>
      </c>
      <c r="B375" s="238" t="s">
        <v>175</v>
      </c>
      <c r="C375" s="238">
        <v>2013</v>
      </c>
      <c r="D375" s="238"/>
      <c r="E375" s="238">
        <v>2013</v>
      </c>
      <c r="F375" s="238" t="s">
        <v>27</v>
      </c>
      <c r="G375" s="238" t="s">
        <v>30</v>
      </c>
      <c r="H375" s="238">
        <v>6</v>
      </c>
      <c r="I375" s="238">
        <v>1</v>
      </c>
      <c r="J375" s="238"/>
      <c r="K375" s="238" t="s">
        <v>470</v>
      </c>
      <c r="L375" s="238" t="s">
        <v>24</v>
      </c>
      <c r="M375" s="238">
        <v>9</v>
      </c>
      <c r="N375" s="238">
        <v>29.9</v>
      </c>
      <c r="O375" s="238"/>
      <c r="P375" s="238">
        <v>8.31</v>
      </c>
      <c r="Q375" s="238"/>
      <c r="R375" s="238"/>
      <c r="S375" s="238"/>
      <c r="T375" s="238"/>
      <c r="U375" s="238">
        <v>20</v>
      </c>
      <c r="V375" s="238"/>
      <c r="W375" s="238"/>
      <c r="X375" s="238"/>
      <c r="Y375" s="238"/>
      <c r="Z375" s="238"/>
      <c r="AA375" s="238"/>
      <c r="AB375" s="238"/>
      <c r="AC375" s="238">
        <v>3.08</v>
      </c>
      <c r="AD375" s="238" t="s">
        <v>22</v>
      </c>
      <c r="AE375" s="238">
        <v>5.5</v>
      </c>
      <c r="AF375" s="238">
        <v>0.30821917799999998</v>
      </c>
      <c r="AG375" s="238">
        <v>6</v>
      </c>
      <c r="AH375" s="238">
        <v>179400</v>
      </c>
      <c r="AI375" s="238"/>
      <c r="AJ375" s="238"/>
      <c r="AK375" s="238" t="s">
        <v>769</v>
      </c>
      <c r="AL375" s="238" t="s">
        <v>597</v>
      </c>
      <c r="AM375" s="238">
        <v>310.36672750000002</v>
      </c>
      <c r="AN375" s="238"/>
      <c r="AO375" s="238" t="s">
        <v>356</v>
      </c>
      <c r="AP375" s="238"/>
      <c r="AQ375" s="238">
        <v>49833</v>
      </c>
      <c r="AR375" s="238"/>
      <c r="AS375" s="238"/>
      <c r="AT375" s="238"/>
      <c r="AU375" s="238"/>
      <c r="AV375" s="238"/>
      <c r="AW375" s="238">
        <v>16200</v>
      </c>
      <c r="AX375" s="238"/>
      <c r="AY375" s="238">
        <v>324000</v>
      </c>
      <c r="AZ375" s="238">
        <v>54000000</v>
      </c>
      <c r="BA375" s="238"/>
      <c r="BB375" s="238">
        <v>0.154</v>
      </c>
      <c r="BC375" s="238"/>
      <c r="BD375" s="238"/>
      <c r="BE375" s="238"/>
    </row>
    <row r="376" spans="1:57">
      <c r="A376" s="237" t="s">
        <v>660</v>
      </c>
      <c r="B376" s="237" t="s">
        <v>175</v>
      </c>
      <c r="C376" s="237">
        <v>2013</v>
      </c>
      <c r="D376" s="237"/>
      <c r="E376" s="237">
        <v>2013</v>
      </c>
      <c r="F376" s="237" t="s">
        <v>27</v>
      </c>
      <c r="G376" s="237" t="s">
        <v>30</v>
      </c>
      <c r="H376" s="237">
        <v>6</v>
      </c>
      <c r="I376" s="237">
        <v>1</v>
      </c>
      <c r="J376" s="237"/>
      <c r="K376" s="237" t="s">
        <v>470</v>
      </c>
      <c r="L376" s="237" t="s">
        <v>24</v>
      </c>
      <c r="M376" s="237">
        <v>9</v>
      </c>
      <c r="N376" s="237">
        <v>29.9</v>
      </c>
      <c r="O376" s="237"/>
      <c r="P376" s="237">
        <v>8.31</v>
      </c>
      <c r="Q376" s="237"/>
      <c r="R376" s="237"/>
      <c r="S376" s="237"/>
      <c r="T376" s="237"/>
      <c r="U376" s="237">
        <v>20</v>
      </c>
      <c r="V376" s="237"/>
      <c r="W376" s="237"/>
      <c r="X376" s="237"/>
      <c r="Y376" s="237"/>
      <c r="Z376" s="237"/>
      <c r="AA376" s="237"/>
      <c r="AB376" s="237"/>
      <c r="AC376" s="237">
        <v>2.77</v>
      </c>
      <c r="AD376" s="237" t="s">
        <v>22</v>
      </c>
      <c r="AE376" s="237">
        <v>5.5</v>
      </c>
      <c r="AF376" s="237">
        <v>0.34246575299999998</v>
      </c>
      <c r="AG376" s="237">
        <v>6</v>
      </c>
      <c r="AH376" s="237">
        <v>179400</v>
      </c>
      <c r="AI376" s="237"/>
      <c r="AJ376" s="237"/>
      <c r="AK376" s="237" t="s">
        <v>769</v>
      </c>
      <c r="AL376" s="237" t="s">
        <v>597</v>
      </c>
      <c r="AM376" s="237">
        <v>310.36672750000002</v>
      </c>
      <c r="AN376" s="237"/>
      <c r="AO376" s="237" t="s">
        <v>356</v>
      </c>
      <c r="AP376" s="237"/>
      <c r="AQ376" s="237">
        <v>49833</v>
      </c>
      <c r="AR376" s="237"/>
      <c r="AS376" s="237"/>
      <c r="AT376" s="237"/>
      <c r="AU376" s="237"/>
      <c r="AV376" s="237"/>
      <c r="AW376" s="237">
        <v>18000</v>
      </c>
      <c r="AX376" s="237"/>
      <c r="AY376" s="237">
        <v>360000</v>
      </c>
      <c r="AZ376" s="237">
        <v>60000000</v>
      </c>
      <c r="BA376" s="237"/>
      <c r="BB376" s="237">
        <v>0.13800000000000001</v>
      </c>
      <c r="BC376" s="237"/>
      <c r="BD376" s="237"/>
      <c r="BE376" s="237"/>
    </row>
    <row r="377" spans="1:57">
      <c r="A377" s="237" t="s">
        <v>787</v>
      </c>
      <c r="B377" s="237" t="s">
        <v>476</v>
      </c>
      <c r="C377" s="237">
        <v>2013</v>
      </c>
      <c r="D377" s="237"/>
      <c r="E377" s="237">
        <v>2013</v>
      </c>
      <c r="F377" s="237" t="s">
        <v>27</v>
      </c>
      <c r="G377" s="237" t="s">
        <v>477</v>
      </c>
      <c r="H377" s="237">
        <v>3000</v>
      </c>
      <c r="I377" s="237">
        <v>100</v>
      </c>
      <c r="J377" s="237" t="s">
        <v>478</v>
      </c>
      <c r="K377" s="237"/>
      <c r="L377" s="237" t="s">
        <v>31</v>
      </c>
      <c r="M377" s="237">
        <v>100</v>
      </c>
      <c r="N377" s="237">
        <v>29</v>
      </c>
      <c r="O377" s="237"/>
      <c r="P377" s="237">
        <v>8.06</v>
      </c>
      <c r="Q377" s="237"/>
      <c r="R377" s="237"/>
      <c r="S377" s="237"/>
      <c r="T377" s="237"/>
      <c r="U377" s="237">
        <v>20</v>
      </c>
      <c r="V377" s="237"/>
      <c r="W377" s="237"/>
      <c r="X377" s="237"/>
      <c r="Y377" s="237"/>
      <c r="Z377" s="237"/>
      <c r="AA377" s="237"/>
      <c r="AB377" s="237" t="s">
        <v>480</v>
      </c>
      <c r="AC377" s="237">
        <v>3.27</v>
      </c>
      <c r="AD377" s="237" t="s">
        <v>22</v>
      </c>
      <c r="AE377" s="237"/>
      <c r="AF377" s="237">
        <v>0.28158295300000002</v>
      </c>
      <c r="AG377" s="237">
        <v>300000</v>
      </c>
      <c r="AH377" s="237">
        <v>8700000000</v>
      </c>
      <c r="AI377" s="237"/>
      <c r="AJ377" s="237"/>
      <c r="AK377" s="237" t="s">
        <v>769</v>
      </c>
      <c r="AL377" s="237" t="s">
        <v>597</v>
      </c>
      <c r="AM377" s="237">
        <v>310.36672750000002</v>
      </c>
      <c r="AN377" s="237" t="s">
        <v>479</v>
      </c>
      <c r="AO377" s="237" t="s">
        <v>356</v>
      </c>
      <c r="AP377" s="237"/>
      <c r="AQ377" s="237">
        <v>2416666667</v>
      </c>
      <c r="AR377" s="237"/>
      <c r="AS377" s="237"/>
      <c r="AT377" s="237"/>
      <c r="AU377" s="237"/>
      <c r="AV377" s="237"/>
      <c r="AW377" s="237">
        <v>740000000</v>
      </c>
      <c r="AX377" s="237"/>
      <c r="AY377" s="237">
        <v>14800000000</v>
      </c>
      <c r="AZ377" s="237">
        <v>49333333.333333299</v>
      </c>
      <c r="BA377" s="237"/>
      <c r="BB377" s="237">
        <v>0.16300000000000001</v>
      </c>
      <c r="BC377" s="237"/>
      <c r="BD377" s="237"/>
      <c r="BE377" s="237"/>
    </row>
    <row r="378" spans="1:57">
      <c r="A378" s="238" t="s">
        <v>787</v>
      </c>
      <c r="B378" s="238" t="s">
        <v>476</v>
      </c>
      <c r="C378" s="238">
        <v>2013</v>
      </c>
      <c r="D378" s="238"/>
      <c r="E378" s="238">
        <v>2013</v>
      </c>
      <c r="F378" s="238" t="s">
        <v>27</v>
      </c>
      <c r="G378" s="238" t="s">
        <v>477</v>
      </c>
      <c r="H378" s="238">
        <v>3000</v>
      </c>
      <c r="I378" s="238">
        <v>100</v>
      </c>
      <c r="J378" s="238" t="s">
        <v>478</v>
      </c>
      <c r="K378" s="238"/>
      <c r="L378" s="238" t="s">
        <v>31</v>
      </c>
      <c r="M378" s="238">
        <v>100</v>
      </c>
      <c r="N378" s="238">
        <v>20.97</v>
      </c>
      <c r="O378" s="238"/>
      <c r="P378" s="238">
        <v>5.82</v>
      </c>
      <c r="Q378" s="238"/>
      <c r="R378" s="238"/>
      <c r="S378" s="238"/>
      <c r="T378" s="238"/>
      <c r="U378" s="238">
        <v>20</v>
      </c>
      <c r="V378" s="238"/>
      <c r="W378" s="238"/>
      <c r="X378" s="238"/>
      <c r="Y378" s="238"/>
      <c r="Z378" s="238"/>
      <c r="AA378" s="238"/>
      <c r="AB378" s="238" t="s">
        <v>482</v>
      </c>
      <c r="AC378" s="238">
        <v>2.21</v>
      </c>
      <c r="AD378" s="238" t="s">
        <v>22</v>
      </c>
      <c r="AE378" s="238"/>
      <c r="AF378" s="238">
        <v>0.30060882799999999</v>
      </c>
      <c r="AG378" s="238">
        <v>300000</v>
      </c>
      <c r="AH378" s="238">
        <v>6290000000</v>
      </c>
      <c r="AI378" s="238"/>
      <c r="AJ378" s="238"/>
      <c r="AK378" s="238" t="s">
        <v>769</v>
      </c>
      <c r="AL378" s="238" t="s">
        <v>597</v>
      </c>
      <c r="AM378" s="238">
        <v>310.36672750000002</v>
      </c>
      <c r="AN378" s="238" t="s">
        <v>481</v>
      </c>
      <c r="AO378" s="238" t="s">
        <v>356</v>
      </c>
      <c r="AP378" s="238"/>
      <c r="AQ378" s="238">
        <v>1747222222</v>
      </c>
      <c r="AR378" s="238"/>
      <c r="AS378" s="238"/>
      <c r="AT378" s="238"/>
      <c r="AU378" s="238"/>
      <c r="AV378" s="238"/>
      <c r="AW378" s="238">
        <v>790000000</v>
      </c>
      <c r="AX378" s="238"/>
      <c r="AY378" s="238">
        <v>15800000000</v>
      </c>
      <c r="AZ378" s="238">
        <v>52666666.666666701</v>
      </c>
      <c r="BA378" s="238"/>
      <c r="BB378" s="238">
        <v>0.111</v>
      </c>
      <c r="BC378" s="238"/>
      <c r="BD378" s="238"/>
      <c r="BE378" s="238"/>
    </row>
    <row r="379" spans="1:57">
      <c r="A379" s="237" t="s">
        <v>787</v>
      </c>
      <c r="B379" s="237" t="s">
        <v>476</v>
      </c>
      <c r="C379" s="237">
        <v>2013</v>
      </c>
      <c r="D379" s="237"/>
      <c r="E379" s="237">
        <v>2013</v>
      </c>
      <c r="F379" s="237" t="s">
        <v>27</v>
      </c>
      <c r="G379" s="237" t="s">
        <v>477</v>
      </c>
      <c r="H379" s="237">
        <v>3000</v>
      </c>
      <c r="I379" s="237">
        <v>100</v>
      </c>
      <c r="J379" s="237" t="s">
        <v>478</v>
      </c>
      <c r="K379" s="237"/>
      <c r="L379" s="237" t="s">
        <v>31</v>
      </c>
      <c r="M379" s="237">
        <v>100</v>
      </c>
      <c r="N379" s="237">
        <v>31.8</v>
      </c>
      <c r="O379" s="237"/>
      <c r="P379" s="237">
        <v>8.83</v>
      </c>
      <c r="Q379" s="237"/>
      <c r="R379" s="237"/>
      <c r="S379" s="237"/>
      <c r="T379" s="237"/>
      <c r="U379" s="237">
        <v>20</v>
      </c>
      <c r="V379" s="237"/>
      <c r="W379" s="237"/>
      <c r="X379" s="237"/>
      <c r="Y379" s="237"/>
      <c r="Z379" s="237"/>
      <c r="AA379" s="237"/>
      <c r="AB379" s="237" t="s">
        <v>484</v>
      </c>
      <c r="AC379" s="237">
        <v>3.27</v>
      </c>
      <c r="AD379" s="237" t="s">
        <v>22</v>
      </c>
      <c r="AE379" s="237"/>
      <c r="AF379" s="237">
        <v>0.30821917799999998</v>
      </c>
      <c r="AG379" s="237">
        <v>300000</v>
      </c>
      <c r="AH379" s="237">
        <v>9540000000</v>
      </c>
      <c r="AI379" s="237"/>
      <c r="AJ379" s="237"/>
      <c r="AK379" s="237" t="s">
        <v>769</v>
      </c>
      <c r="AL379" s="237" t="s">
        <v>597</v>
      </c>
      <c r="AM379" s="237">
        <v>310.36672750000002</v>
      </c>
      <c r="AN379" s="237" t="s">
        <v>483</v>
      </c>
      <c r="AO379" s="237" t="s">
        <v>356</v>
      </c>
      <c r="AP379" s="237"/>
      <c r="AQ379" s="237">
        <v>2650000000</v>
      </c>
      <c r="AR379" s="237"/>
      <c r="AS379" s="237"/>
      <c r="AT379" s="237"/>
      <c r="AU379" s="237"/>
      <c r="AV379" s="237"/>
      <c r="AW379" s="237">
        <v>810000000</v>
      </c>
      <c r="AX379" s="237"/>
      <c r="AY379" s="237">
        <v>16200000000</v>
      </c>
      <c r="AZ379" s="237">
        <v>54000000</v>
      </c>
      <c r="BA379" s="237"/>
      <c r="BB379" s="237">
        <v>0.16400000000000001</v>
      </c>
      <c r="BC379" s="237"/>
      <c r="BD379" s="237"/>
      <c r="BE379" s="237"/>
    </row>
    <row r="380" spans="1:57">
      <c r="A380" s="238" t="s">
        <v>787</v>
      </c>
      <c r="B380" s="238" t="s">
        <v>476</v>
      </c>
      <c r="C380" s="238">
        <v>2013</v>
      </c>
      <c r="D380" s="238"/>
      <c r="E380" s="238">
        <v>2013</v>
      </c>
      <c r="F380" s="238" t="s">
        <v>27</v>
      </c>
      <c r="G380" s="238" t="s">
        <v>477</v>
      </c>
      <c r="H380" s="238">
        <v>3000</v>
      </c>
      <c r="I380" s="238">
        <v>100</v>
      </c>
      <c r="J380" s="238" t="s">
        <v>478</v>
      </c>
      <c r="K380" s="238"/>
      <c r="L380" s="238" t="s">
        <v>31</v>
      </c>
      <c r="M380" s="238">
        <v>100</v>
      </c>
      <c r="N380" s="238">
        <v>34.47</v>
      </c>
      <c r="O380" s="238"/>
      <c r="P380" s="238">
        <v>9.57</v>
      </c>
      <c r="Q380" s="238"/>
      <c r="R380" s="238"/>
      <c r="S380" s="238"/>
      <c r="T380" s="238"/>
      <c r="U380" s="238">
        <v>20</v>
      </c>
      <c r="V380" s="238"/>
      <c r="W380" s="238"/>
      <c r="X380" s="238"/>
      <c r="Y380" s="238"/>
      <c r="Z380" s="238"/>
      <c r="AA380" s="238"/>
      <c r="AB380" s="238" t="s">
        <v>485</v>
      </c>
      <c r="AC380" s="238">
        <v>3.46</v>
      </c>
      <c r="AD380" s="238" t="s">
        <v>22</v>
      </c>
      <c r="AE380" s="238"/>
      <c r="AF380" s="238">
        <v>0.31582952800000003</v>
      </c>
      <c r="AG380" s="238">
        <v>300000</v>
      </c>
      <c r="AH380" s="238">
        <v>10340000000</v>
      </c>
      <c r="AI380" s="238"/>
      <c r="AJ380" s="238"/>
      <c r="AK380" s="238" t="s">
        <v>769</v>
      </c>
      <c r="AL380" s="238" t="s">
        <v>597</v>
      </c>
      <c r="AM380" s="238">
        <v>310.36672750000002</v>
      </c>
      <c r="AN380" s="238" t="s">
        <v>483</v>
      </c>
      <c r="AO380" s="238" t="s">
        <v>356</v>
      </c>
      <c r="AP380" s="238"/>
      <c r="AQ380" s="238">
        <v>2872222222</v>
      </c>
      <c r="AR380" s="238"/>
      <c r="AS380" s="238"/>
      <c r="AT380" s="238"/>
      <c r="AU380" s="238"/>
      <c r="AV380" s="238"/>
      <c r="AW380" s="238">
        <v>830000000</v>
      </c>
      <c r="AX380" s="238"/>
      <c r="AY380" s="238">
        <v>16600000000</v>
      </c>
      <c r="AZ380" s="238">
        <v>55333333.333333299</v>
      </c>
      <c r="BA380" s="238"/>
      <c r="BB380" s="238">
        <v>0.17299999999999999</v>
      </c>
      <c r="BC380" s="238"/>
      <c r="BD380" s="238"/>
      <c r="BE380" s="238"/>
    </row>
    <row r="381" spans="1:57">
      <c r="A381" s="237" t="s">
        <v>787</v>
      </c>
      <c r="B381" s="237" t="s">
        <v>476</v>
      </c>
      <c r="C381" s="237">
        <v>2013</v>
      </c>
      <c r="D381" s="237"/>
      <c r="E381" s="237">
        <v>2013</v>
      </c>
      <c r="F381" s="237" t="s">
        <v>27</v>
      </c>
      <c r="G381" s="237" t="s">
        <v>477</v>
      </c>
      <c r="H381" s="237">
        <v>3000</v>
      </c>
      <c r="I381" s="237">
        <v>100</v>
      </c>
      <c r="J381" s="237" t="s">
        <v>478</v>
      </c>
      <c r="K381" s="237"/>
      <c r="L381" s="237" t="s">
        <v>31</v>
      </c>
      <c r="M381" s="237">
        <v>100</v>
      </c>
      <c r="N381" s="237">
        <v>31.33</v>
      </c>
      <c r="O381" s="237"/>
      <c r="P381" s="237">
        <v>8.6999999999999993</v>
      </c>
      <c r="Q381" s="237"/>
      <c r="R381" s="237"/>
      <c r="S381" s="237"/>
      <c r="T381" s="237"/>
      <c r="U381" s="237">
        <v>20</v>
      </c>
      <c r="V381" s="237"/>
      <c r="W381" s="237"/>
      <c r="X381" s="237"/>
      <c r="Y381" s="237"/>
      <c r="Z381" s="237"/>
      <c r="AA381" s="237"/>
      <c r="AB381" s="237" t="s">
        <v>487</v>
      </c>
      <c r="AC381" s="237">
        <v>3.04</v>
      </c>
      <c r="AD381" s="237" t="s">
        <v>22</v>
      </c>
      <c r="AE381" s="237"/>
      <c r="AF381" s="237">
        <v>0.32724505300000001</v>
      </c>
      <c r="AG381" s="237">
        <v>300000</v>
      </c>
      <c r="AH381" s="237">
        <v>9400000000</v>
      </c>
      <c r="AI381" s="237"/>
      <c r="AJ381" s="237"/>
      <c r="AK381" s="237" t="s">
        <v>769</v>
      </c>
      <c r="AL381" s="237" t="s">
        <v>597</v>
      </c>
      <c r="AM381" s="237">
        <v>310.36672750000002</v>
      </c>
      <c r="AN381" s="237" t="s">
        <v>486</v>
      </c>
      <c r="AO381" s="237" t="s">
        <v>356</v>
      </c>
      <c r="AP381" s="237"/>
      <c r="AQ381" s="237">
        <v>2611111111</v>
      </c>
      <c r="AR381" s="237"/>
      <c r="AS381" s="237"/>
      <c r="AT381" s="237"/>
      <c r="AU381" s="237"/>
      <c r="AV381" s="237"/>
      <c r="AW381" s="237">
        <v>860000000</v>
      </c>
      <c r="AX381" s="237"/>
      <c r="AY381" s="237">
        <v>17200000000</v>
      </c>
      <c r="AZ381" s="237">
        <v>57333333.333333299</v>
      </c>
      <c r="BA381" s="237"/>
      <c r="BB381" s="237">
        <v>0.152</v>
      </c>
      <c r="BC381" s="237"/>
      <c r="BD381" s="237"/>
      <c r="BE381" s="237"/>
    </row>
    <row r="382" spans="1:57">
      <c r="A382" s="238" t="s">
        <v>787</v>
      </c>
      <c r="B382" s="238" t="s">
        <v>476</v>
      </c>
      <c r="C382" s="238">
        <v>2013</v>
      </c>
      <c r="D382" s="238"/>
      <c r="E382" s="238">
        <v>2013</v>
      </c>
      <c r="F382" s="238" t="s">
        <v>27</v>
      </c>
      <c r="G382" s="238" t="s">
        <v>477</v>
      </c>
      <c r="H382" s="238">
        <v>3000</v>
      </c>
      <c r="I382" s="238">
        <v>100</v>
      </c>
      <c r="J382" s="238" t="s">
        <v>478</v>
      </c>
      <c r="K382" s="238"/>
      <c r="L382" s="238" t="s">
        <v>31</v>
      </c>
      <c r="M382" s="238">
        <v>100</v>
      </c>
      <c r="N382" s="238">
        <v>19.93</v>
      </c>
      <c r="O382" s="238"/>
      <c r="P382" s="238">
        <v>5.54</v>
      </c>
      <c r="Q382" s="238"/>
      <c r="R382" s="238"/>
      <c r="S382" s="238"/>
      <c r="T382" s="238"/>
      <c r="U382" s="238">
        <v>20</v>
      </c>
      <c r="V382" s="238"/>
      <c r="W382" s="238"/>
      <c r="X382" s="238"/>
      <c r="Y382" s="238"/>
      <c r="Z382" s="238"/>
      <c r="AA382" s="238"/>
      <c r="AB382" s="238" t="s">
        <v>480</v>
      </c>
      <c r="AC382" s="238">
        <v>2.04</v>
      </c>
      <c r="AD382" s="238" t="s">
        <v>22</v>
      </c>
      <c r="AE382" s="238"/>
      <c r="AF382" s="238">
        <v>0.31012176600000002</v>
      </c>
      <c r="AG382" s="238">
        <v>300000</v>
      </c>
      <c r="AH382" s="238">
        <v>5980000000</v>
      </c>
      <c r="AI382" s="238"/>
      <c r="AJ382" s="238"/>
      <c r="AK382" s="238" t="s">
        <v>769</v>
      </c>
      <c r="AL382" s="238" t="s">
        <v>597</v>
      </c>
      <c r="AM382" s="238">
        <v>310.36672750000002</v>
      </c>
      <c r="AN382" s="238" t="s">
        <v>481</v>
      </c>
      <c r="AO382" s="238" t="s">
        <v>356</v>
      </c>
      <c r="AP382" s="238"/>
      <c r="AQ382" s="238">
        <v>1661111111</v>
      </c>
      <c r="AR382" s="238"/>
      <c r="AS382" s="238"/>
      <c r="AT382" s="238"/>
      <c r="AU382" s="238"/>
      <c r="AV382" s="238"/>
      <c r="AW382" s="238">
        <v>815000000</v>
      </c>
      <c r="AX382" s="238"/>
      <c r="AY382" s="238">
        <v>16300000000</v>
      </c>
      <c r="AZ382" s="238">
        <v>54333333.333333299</v>
      </c>
      <c r="BA382" s="238"/>
      <c r="BB382" s="238">
        <v>0.10199999999999999</v>
      </c>
      <c r="BC382" s="238"/>
      <c r="BD382" s="238"/>
      <c r="BE382" s="238"/>
    </row>
    <row r="383" spans="1:57">
      <c r="A383" s="237" t="s">
        <v>787</v>
      </c>
      <c r="B383" s="237" t="s">
        <v>476</v>
      </c>
      <c r="C383" s="237">
        <v>2013</v>
      </c>
      <c r="D383" s="237"/>
      <c r="E383" s="237">
        <v>2013</v>
      </c>
      <c r="F383" s="237" t="s">
        <v>27</v>
      </c>
      <c r="G383" s="237" t="s">
        <v>477</v>
      </c>
      <c r="H383" s="237">
        <v>3000</v>
      </c>
      <c r="I383" s="237">
        <v>100</v>
      </c>
      <c r="J383" s="237" t="s">
        <v>478</v>
      </c>
      <c r="K383" s="237"/>
      <c r="L383" s="237" t="s">
        <v>31</v>
      </c>
      <c r="M383" s="237">
        <v>100</v>
      </c>
      <c r="N383" s="237">
        <v>27.3</v>
      </c>
      <c r="O383" s="237"/>
      <c r="P383" s="237">
        <v>7.58</v>
      </c>
      <c r="Q383" s="237"/>
      <c r="R383" s="237"/>
      <c r="S383" s="237"/>
      <c r="T383" s="237"/>
      <c r="U383" s="237">
        <v>20</v>
      </c>
      <c r="V383" s="237"/>
      <c r="W383" s="237"/>
      <c r="X383" s="237"/>
      <c r="Y383" s="237"/>
      <c r="Z383" s="237"/>
      <c r="AA383" s="237"/>
      <c r="AB383" s="237" t="s">
        <v>482</v>
      </c>
      <c r="AC383" s="237">
        <v>2.6</v>
      </c>
      <c r="AD383" s="237" t="s">
        <v>22</v>
      </c>
      <c r="AE383" s="237"/>
      <c r="AF383" s="237">
        <v>0.33295281599999998</v>
      </c>
      <c r="AG383" s="237">
        <v>300000</v>
      </c>
      <c r="AH383" s="237">
        <v>8190000000</v>
      </c>
      <c r="AI383" s="237"/>
      <c r="AJ383" s="237"/>
      <c r="AK383" s="237" t="s">
        <v>769</v>
      </c>
      <c r="AL383" s="237" t="s">
        <v>597</v>
      </c>
      <c r="AM383" s="237">
        <v>310.36672750000002</v>
      </c>
      <c r="AN383" s="237" t="s">
        <v>486</v>
      </c>
      <c r="AO383" s="237" t="s">
        <v>356</v>
      </c>
      <c r="AP383" s="237"/>
      <c r="AQ383" s="237">
        <v>2275000000</v>
      </c>
      <c r="AR383" s="237"/>
      <c r="AS383" s="237"/>
      <c r="AT383" s="237"/>
      <c r="AU383" s="237"/>
      <c r="AV383" s="237"/>
      <c r="AW383" s="237">
        <v>875000000</v>
      </c>
      <c r="AX383" s="237"/>
      <c r="AY383" s="237">
        <v>17500000000</v>
      </c>
      <c r="AZ383" s="237">
        <v>58333333.333333299</v>
      </c>
      <c r="BA383" s="237"/>
      <c r="BB383" s="237">
        <v>0.13</v>
      </c>
      <c r="BC383" s="237"/>
      <c r="BD383" s="237"/>
      <c r="BE383" s="237"/>
    </row>
    <row r="384" spans="1:57">
      <c r="A384" s="238" t="s">
        <v>787</v>
      </c>
      <c r="B384" s="238" t="s">
        <v>476</v>
      </c>
      <c r="C384" s="238">
        <v>2013</v>
      </c>
      <c r="D384" s="238"/>
      <c r="E384" s="238">
        <v>2013</v>
      </c>
      <c r="F384" s="238" t="s">
        <v>27</v>
      </c>
      <c r="G384" s="238" t="s">
        <v>477</v>
      </c>
      <c r="H384" s="238">
        <v>3000</v>
      </c>
      <c r="I384" s="238">
        <v>100</v>
      </c>
      <c r="J384" s="238" t="s">
        <v>478</v>
      </c>
      <c r="K384" s="238"/>
      <c r="L384" s="238" t="s">
        <v>31</v>
      </c>
      <c r="M384" s="238">
        <v>100</v>
      </c>
      <c r="N384" s="238">
        <v>28.33</v>
      </c>
      <c r="O384" s="238"/>
      <c r="P384" s="238">
        <v>7.87</v>
      </c>
      <c r="Q384" s="238"/>
      <c r="R384" s="238"/>
      <c r="S384" s="238"/>
      <c r="T384" s="238"/>
      <c r="U384" s="238">
        <v>20</v>
      </c>
      <c r="V384" s="238"/>
      <c r="W384" s="238"/>
      <c r="X384" s="238"/>
      <c r="Y384" s="238"/>
      <c r="Z384" s="238"/>
      <c r="AA384" s="238"/>
      <c r="AB384" s="238" t="s">
        <v>484</v>
      </c>
      <c r="AC384" s="238">
        <v>2.61</v>
      </c>
      <c r="AD384" s="238" t="s">
        <v>22</v>
      </c>
      <c r="AE384" s="238"/>
      <c r="AF384" s="238">
        <v>0.34436834100000002</v>
      </c>
      <c r="AG384" s="238">
        <v>300000</v>
      </c>
      <c r="AH384" s="238">
        <v>8500000000</v>
      </c>
      <c r="AI384" s="238"/>
      <c r="AJ384" s="238"/>
      <c r="AK384" s="238" t="s">
        <v>769</v>
      </c>
      <c r="AL384" s="238" t="s">
        <v>597</v>
      </c>
      <c r="AM384" s="238">
        <v>310.36672750000002</v>
      </c>
      <c r="AN384" s="238" t="s">
        <v>486</v>
      </c>
      <c r="AO384" s="238" t="s">
        <v>356</v>
      </c>
      <c r="AP384" s="238"/>
      <c r="AQ384" s="238">
        <v>2361111111</v>
      </c>
      <c r="AR384" s="238"/>
      <c r="AS384" s="238"/>
      <c r="AT384" s="238"/>
      <c r="AU384" s="238"/>
      <c r="AV384" s="238"/>
      <c r="AW384" s="238">
        <v>905000000</v>
      </c>
      <c r="AX384" s="238"/>
      <c r="AY384" s="238">
        <v>18100000000</v>
      </c>
      <c r="AZ384" s="238">
        <v>60333333.333333299</v>
      </c>
      <c r="BA384" s="238"/>
      <c r="BB384" s="238">
        <v>0.13</v>
      </c>
      <c r="BC384" s="238"/>
      <c r="BD384" s="238"/>
      <c r="BE384" s="238"/>
    </row>
    <row r="385" spans="1:57">
      <c r="A385" s="237" t="s">
        <v>787</v>
      </c>
      <c r="B385" s="237" t="s">
        <v>476</v>
      </c>
      <c r="C385" s="237">
        <v>2013</v>
      </c>
      <c r="D385" s="237"/>
      <c r="E385" s="237">
        <v>2013</v>
      </c>
      <c r="F385" s="237" t="s">
        <v>27</v>
      </c>
      <c r="G385" s="237" t="s">
        <v>477</v>
      </c>
      <c r="H385" s="237">
        <v>3000</v>
      </c>
      <c r="I385" s="237">
        <v>100</v>
      </c>
      <c r="J385" s="237" t="s">
        <v>478</v>
      </c>
      <c r="K385" s="237"/>
      <c r="L385" s="237" t="s">
        <v>31</v>
      </c>
      <c r="M385" s="237">
        <v>100</v>
      </c>
      <c r="N385" s="237">
        <v>29.37</v>
      </c>
      <c r="O385" s="237"/>
      <c r="P385" s="237">
        <v>8.16</v>
      </c>
      <c r="Q385" s="237"/>
      <c r="R385" s="237"/>
      <c r="S385" s="237"/>
      <c r="T385" s="237"/>
      <c r="U385" s="237">
        <v>20</v>
      </c>
      <c r="V385" s="237"/>
      <c r="W385" s="237"/>
      <c r="X385" s="237"/>
      <c r="Y385" s="237"/>
      <c r="Z385" s="237"/>
      <c r="AA385" s="237"/>
      <c r="AB385" s="237" t="s">
        <v>485</v>
      </c>
      <c r="AC385" s="237">
        <v>2.67</v>
      </c>
      <c r="AD385" s="237" t="s">
        <v>22</v>
      </c>
      <c r="AE385" s="237"/>
      <c r="AF385" s="237">
        <v>0.34817351600000002</v>
      </c>
      <c r="AG385" s="237">
        <v>300000</v>
      </c>
      <c r="AH385" s="237">
        <v>8810000000</v>
      </c>
      <c r="AI385" s="237"/>
      <c r="AJ385" s="237"/>
      <c r="AK385" s="237" t="s">
        <v>769</v>
      </c>
      <c r="AL385" s="237" t="s">
        <v>597</v>
      </c>
      <c r="AM385" s="237">
        <v>310.36672750000002</v>
      </c>
      <c r="AN385" s="237" t="s">
        <v>486</v>
      </c>
      <c r="AO385" s="237" t="s">
        <v>356</v>
      </c>
      <c r="AP385" s="237"/>
      <c r="AQ385" s="237">
        <v>2447222222</v>
      </c>
      <c r="AR385" s="237"/>
      <c r="AS385" s="237"/>
      <c r="AT385" s="237"/>
      <c r="AU385" s="237"/>
      <c r="AV385" s="237"/>
      <c r="AW385" s="237">
        <v>915000000</v>
      </c>
      <c r="AX385" s="237"/>
      <c r="AY385" s="237">
        <v>18300000000</v>
      </c>
      <c r="AZ385" s="237">
        <v>61000000</v>
      </c>
      <c r="BA385" s="237"/>
      <c r="BB385" s="237">
        <v>0.13400000000000001</v>
      </c>
      <c r="BC385" s="237"/>
      <c r="BD385" s="237"/>
      <c r="BE385" s="237"/>
    </row>
    <row r="386" spans="1:57">
      <c r="A386" s="238" t="s">
        <v>787</v>
      </c>
      <c r="B386" s="238" t="s">
        <v>476</v>
      </c>
      <c r="C386" s="238">
        <v>2013</v>
      </c>
      <c r="D386" s="238"/>
      <c r="E386" s="238">
        <v>2013</v>
      </c>
      <c r="F386" s="238" t="s">
        <v>27</v>
      </c>
      <c r="G386" s="238" t="s">
        <v>477</v>
      </c>
      <c r="H386" s="238">
        <v>3000</v>
      </c>
      <c r="I386" s="238">
        <v>100</v>
      </c>
      <c r="J386" s="238" t="s">
        <v>478</v>
      </c>
      <c r="K386" s="238"/>
      <c r="L386" s="238" t="s">
        <v>31</v>
      </c>
      <c r="M386" s="238">
        <v>100</v>
      </c>
      <c r="N386" s="238">
        <v>31.37</v>
      </c>
      <c r="O386" s="238"/>
      <c r="P386" s="238">
        <v>8.7100000000000009</v>
      </c>
      <c r="Q386" s="238"/>
      <c r="R386" s="238"/>
      <c r="S386" s="238"/>
      <c r="T386" s="238"/>
      <c r="U386" s="238">
        <v>20</v>
      </c>
      <c r="V386" s="238"/>
      <c r="W386" s="238"/>
      <c r="X386" s="238"/>
      <c r="Y386" s="238"/>
      <c r="Z386" s="238"/>
      <c r="AA386" s="238"/>
      <c r="AB386" s="238" t="s">
        <v>487</v>
      </c>
      <c r="AC386" s="238">
        <v>2.83</v>
      </c>
      <c r="AD386" s="238" t="s">
        <v>22</v>
      </c>
      <c r="AE386" s="238"/>
      <c r="AF386" s="238">
        <v>0.35197869100000001</v>
      </c>
      <c r="AG386" s="238">
        <v>300000</v>
      </c>
      <c r="AH386" s="238">
        <v>9410000000</v>
      </c>
      <c r="AI386" s="238"/>
      <c r="AJ386" s="238"/>
      <c r="AK386" s="238" t="s">
        <v>769</v>
      </c>
      <c r="AL386" s="238" t="s">
        <v>597</v>
      </c>
      <c r="AM386" s="238">
        <v>310.36672750000002</v>
      </c>
      <c r="AN386" s="238" t="s">
        <v>486</v>
      </c>
      <c r="AO386" s="238" t="s">
        <v>356</v>
      </c>
      <c r="AP386" s="238"/>
      <c r="AQ386" s="238">
        <v>2613888889</v>
      </c>
      <c r="AR386" s="238"/>
      <c r="AS386" s="238"/>
      <c r="AT386" s="238"/>
      <c r="AU386" s="238"/>
      <c r="AV386" s="238"/>
      <c r="AW386" s="238">
        <v>925000000</v>
      </c>
      <c r="AX386" s="238"/>
      <c r="AY386" s="238">
        <v>18500000000</v>
      </c>
      <c r="AZ386" s="238">
        <v>61666666.666666701</v>
      </c>
      <c r="BA386" s="238"/>
      <c r="BB386" s="238">
        <v>0.14099999999999999</v>
      </c>
      <c r="BC386" s="238"/>
      <c r="BD386" s="238"/>
      <c r="BE386" s="238"/>
    </row>
    <row r="387" spans="1:57">
      <c r="A387" s="237" t="s">
        <v>787</v>
      </c>
      <c r="B387" s="237" t="s">
        <v>476</v>
      </c>
      <c r="C387" s="237">
        <v>2013</v>
      </c>
      <c r="D387" s="237"/>
      <c r="E387" s="237">
        <v>2013</v>
      </c>
      <c r="F387" s="237" t="s">
        <v>27</v>
      </c>
      <c r="G387" s="237" t="s">
        <v>477</v>
      </c>
      <c r="H387" s="237">
        <v>3000</v>
      </c>
      <c r="I387" s="237">
        <v>100</v>
      </c>
      <c r="J387" s="237" t="s">
        <v>478</v>
      </c>
      <c r="K387" s="237"/>
      <c r="L387" s="237" t="s">
        <v>31</v>
      </c>
      <c r="M387" s="237">
        <v>100</v>
      </c>
      <c r="N387" s="237">
        <v>19.899999999999999</v>
      </c>
      <c r="O387" s="237"/>
      <c r="P387" s="237">
        <v>5.53</v>
      </c>
      <c r="Q387" s="237"/>
      <c r="R387" s="237"/>
      <c r="S387" s="237"/>
      <c r="T387" s="237"/>
      <c r="U387" s="237">
        <v>20</v>
      </c>
      <c r="V387" s="237"/>
      <c r="W387" s="237"/>
      <c r="X387" s="237"/>
      <c r="Y387" s="237"/>
      <c r="Z387" s="237"/>
      <c r="AA387" s="237"/>
      <c r="AB387" s="237" t="s">
        <v>480</v>
      </c>
      <c r="AC387" s="237">
        <v>2.02</v>
      </c>
      <c r="AD387" s="237" t="s">
        <v>22</v>
      </c>
      <c r="AE387" s="237"/>
      <c r="AF387" s="237">
        <v>0.31202435299999998</v>
      </c>
      <c r="AG387" s="237">
        <v>300000</v>
      </c>
      <c r="AH387" s="237">
        <v>5970000000</v>
      </c>
      <c r="AI387" s="237"/>
      <c r="AJ387" s="237"/>
      <c r="AK387" s="237" t="s">
        <v>769</v>
      </c>
      <c r="AL387" s="237" t="s">
        <v>597</v>
      </c>
      <c r="AM387" s="237">
        <v>310.36672750000002</v>
      </c>
      <c r="AN387" s="237" t="s">
        <v>481</v>
      </c>
      <c r="AO387" s="237" t="s">
        <v>356</v>
      </c>
      <c r="AP387" s="237"/>
      <c r="AQ387" s="237">
        <v>1658333333</v>
      </c>
      <c r="AR387" s="237"/>
      <c r="AS387" s="237"/>
      <c r="AT387" s="237"/>
      <c r="AU387" s="237"/>
      <c r="AV387" s="237"/>
      <c r="AW387" s="237">
        <v>820000000</v>
      </c>
      <c r="AX387" s="237"/>
      <c r="AY387" s="237">
        <v>16400000000</v>
      </c>
      <c r="AZ387" s="237">
        <v>54666666.666666701</v>
      </c>
      <c r="BA387" s="237"/>
      <c r="BB387" s="237">
        <v>0.10100000000000001</v>
      </c>
      <c r="BC387" s="237"/>
      <c r="BD387" s="237"/>
      <c r="BE387" s="237"/>
    </row>
    <row r="388" spans="1:57">
      <c r="A388" s="238" t="s">
        <v>787</v>
      </c>
      <c r="B388" s="238" t="s">
        <v>476</v>
      </c>
      <c r="C388" s="238">
        <v>2013</v>
      </c>
      <c r="D388" s="238"/>
      <c r="E388" s="238">
        <v>2013</v>
      </c>
      <c r="F388" s="238" t="s">
        <v>27</v>
      </c>
      <c r="G388" s="238" t="s">
        <v>477</v>
      </c>
      <c r="H388" s="238">
        <v>3000</v>
      </c>
      <c r="I388" s="238">
        <v>100</v>
      </c>
      <c r="J388" s="238" t="s">
        <v>478</v>
      </c>
      <c r="K388" s="238"/>
      <c r="L388" s="238" t="s">
        <v>31</v>
      </c>
      <c r="M388" s="238">
        <v>100</v>
      </c>
      <c r="N388" s="238">
        <v>32.5</v>
      </c>
      <c r="O388" s="238"/>
      <c r="P388" s="238">
        <v>9.0299999999999994</v>
      </c>
      <c r="Q388" s="238"/>
      <c r="R388" s="238"/>
      <c r="S388" s="238"/>
      <c r="T388" s="238"/>
      <c r="U388" s="238">
        <v>20</v>
      </c>
      <c r="V388" s="238"/>
      <c r="W388" s="238"/>
      <c r="X388" s="238"/>
      <c r="Y388" s="238"/>
      <c r="Z388" s="238"/>
      <c r="AA388" s="238"/>
      <c r="AB388" s="238" t="s">
        <v>482</v>
      </c>
      <c r="AC388" s="238">
        <v>3.17</v>
      </c>
      <c r="AD388" s="238" t="s">
        <v>22</v>
      </c>
      <c r="AE388" s="238"/>
      <c r="AF388" s="238">
        <v>0.325342466</v>
      </c>
      <c r="AG388" s="238">
        <v>300000</v>
      </c>
      <c r="AH388" s="238">
        <v>9750000000</v>
      </c>
      <c r="AI388" s="238"/>
      <c r="AJ388" s="238"/>
      <c r="AK388" s="238" t="s">
        <v>769</v>
      </c>
      <c r="AL388" s="238" t="s">
        <v>597</v>
      </c>
      <c r="AM388" s="238">
        <v>310.36672750000002</v>
      </c>
      <c r="AN388" s="238" t="s">
        <v>483</v>
      </c>
      <c r="AO388" s="238" t="s">
        <v>356</v>
      </c>
      <c r="AP388" s="238"/>
      <c r="AQ388" s="238">
        <v>2708333333</v>
      </c>
      <c r="AR388" s="238"/>
      <c r="AS388" s="238"/>
      <c r="AT388" s="238"/>
      <c r="AU388" s="238"/>
      <c r="AV388" s="238"/>
      <c r="AW388" s="238">
        <v>855000000</v>
      </c>
      <c r="AX388" s="238"/>
      <c r="AY388" s="238">
        <v>17100000000</v>
      </c>
      <c r="AZ388" s="238">
        <v>57000000</v>
      </c>
      <c r="BA388" s="238"/>
      <c r="BB388" s="238">
        <v>0.158</v>
      </c>
      <c r="BC388" s="238"/>
      <c r="BD388" s="238"/>
      <c r="BE388" s="238"/>
    </row>
    <row r="389" spans="1:57">
      <c r="A389" s="237" t="s">
        <v>787</v>
      </c>
      <c r="B389" s="237" t="s">
        <v>476</v>
      </c>
      <c r="C389" s="237">
        <v>2013</v>
      </c>
      <c r="D389" s="237"/>
      <c r="E389" s="237">
        <v>2013</v>
      </c>
      <c r="F389" s="237" t="s">
        <v>27</v>
      </c>
      <c r="G389" s="237" t="s">
        <v>477</v>
      </c>
      <c r="H389" s="237">
        <v>3000</v>
      </c>
      <c r="I389" s="237">
        <v>100</v>
      </c>
      <c r="J389" s="237" t="s">
        <v>478</v>
      </c>
      <c r="K389" s="237"/>
      <c r="L389" s="237" t="s">
        <v>31</v>
      </c>
      <c r="M389" s="237">
        <v>100</v>
      </c>
      <c r="N389" s="237">
        <v>28.3</v>
      </c>
      <c r="O389" s="237"/>
      <c r="P389" s="237">
        <v>7.86</v>
      </c>
      <c r="Q389" s="237"/>
      <c r="R389" s="237"/>
      <c r="S389" s="237"/>
      <c r="T389" s="237"/>
      <c r="U389" s="237">
        <v>20</v>
      </c>
      <c r="V389" s="237"/>
      <c r="W389" s="237"/>
      <c r="X389" s="237"/>
      <c r="Y389" s="237"/>
      <c r="Z389" s="237"/>
      <c r="AA389" s="237"/>
      <c r="AB389" s="237" t="s">
        <v>484</v>
      </c>
      <c r="AC389" s="237">
        <v>2.62</v>
      </c>
      <c r="AD389" s="237" t="s">
        <v>22</v>
      </c>
      <c r="AE389" s="237"/>
      <c r="AF389" s="237">
        <v>0.34246575299999998</v>
      </c>
      <c r="AG389" s="237">
        <v>300000</v>
      </c>
      <c r="AH389" s="237">
        <v>8490000000</v>
      </c>
      <c r="AI389" s="237"/>
      <c r="AJ389" s="237"/>
      <c r="AK389" s="237" t="s">
        <v>769</v>
      </c>
      <c r="AL389" s="237" t="s">
        <v>597</v>
      </c>
      <c r="AM389" s="237">
        <v>310.36672750000002</v>
      </c>
      <c r="AN389" s="237" t="s">
        <v>486</v>
      </c>
      <c r="AO389" s="237" t="s">
        <v>356</v>
      </c>
      <c r="AP389" s="237"/>
      <c r="AQ389" s="237">
        <v>2358333333</v>
      </c>
      <c r="AR389" s="237"/>
      <c r="AS389" s="237"/>
      <c r="AT389" s="237"/>
      <c r="AU389" s="237"/>
      <c r="AV389" s="237"/>
      <c r="AW389" s="237">
        <v>900000000</v>
      </c>
      <c r="AX389" s="237"/>
      <c r="AY389" s="237">
        <v>18000000000</v>
      </c>
      <c r="AZ389" s="237">
        <v>60000000</v>
      </c>
      <c r="BA389" s="237"/>
      <c r="BB389" s="237">
        <v>0.13100000000000001</v>
      </c>
      <c r="BC389" s="237"/>
      <c r="BD389" s="237"/>
      <c r="BE389" s="237"/>
    </row>
    <row r="390" spans="1:57">
      <c r="A390" s="238" t="s">
        <v>787</v>
      </c>
      <c r="B390" s="238" t="s">
        <v>476</v>
      </c>
      <c r="C390" s="238">
        <v>2013</v>
      </c>
      <c r="D390" s="238"/>
      <c r="E390" s="238">
        <v>2013</v>
      </c>
      <c r="F390" s="238" t="s">
        <v>27</v>
      </c>
      <c r="G390" s="238" t="s">
        <v>477</v>
      </c>
      <c r="H390" s="238">
        <v>3000</v>
      </c>
      <c r="I390" s="238">
        <v>100</v>
      </c>
      <c r="J390" s="238" t="s">
        <v>478</v>
      </c>
      <c r="K390" s="238"/>
      <c r="L390" s="238" t="s">
        <v>31</v>
      </c>
      <c r="M390" s="238">
        <v>100</v>
      </c>
      <c r="N390" s="238">
        <v>29.33</v>
      </c>
      <c r="O390" s="238"/>
      <c r="P390" s="238">
        <v>8.15</v>
      </c>
      <c r="Q390" s="238"/>
      <c r="R390" s="238"/>
      <c r="S390" s="238"/>
      <c r="T390" s="238"/>
      <c r="U390" s="238">
        <v>20</v>
      </c>
      <c r="V390" s="238"/>
      <c r="W390" s="238"/>
      <c r="X390" s="238"/>
      <c r="Y390" s="238"/>
      <c r="Z390" s="238"/>
      <c r="AA390" s="238"/>
      <c r="AB390" s="238" t="s">
        <v>485</v>
      </c>
      <c r="AC390" s="238">
        <v>2.69</v>
      </c>
      <c r="AD390" s="238" t="s">
        <v>22</v>
      </c>
      <c r="AE390" s="238"/>
      <c r="AF390" s="238">
        <v>0.34627092799999998</v>
      </c>
      <c r="AG390" s="238">
        <v>300000</v>
      </c>
      <c r="AH390" s="238">
        <v>8800000000</v>
      </c>
      <c r="AI390" s="238"/>
      <c r="AJ390" s="238"/>
      <c r="AK390" s="238" t="s">
        <v>769</v>
      </c>
      <c r="AL390" s="238" t="s">
        <v>597</v>
      </c>
      <c r="AM390" s="238">
        <v>310.36672750000002</v>
      </c>
      <c r="AN390" s="238" t="s">
        <v>486</v>
      </c>
      <c r="AO390" s="238" t="s">
        <v>356</v>
      </c>
      <c r="AP390" s="238"/>
      <c r="AQ390" s="238">
        <v>2444444444</v>
      </c>
      <c r="AR390" s="238"/>
      <c r="AS390" s="238"/>
      <c r="AT390" s="238"/>
      <c r="AU390" s="238"/>
      <c r="AV390" s="238"/>
      <c r="AW390" s="238">
        <v>910000000</v>
      </c>
      <c r="AX390" s="238"/>
      <c r="AY390" s="238">
        <v>18200000000</v>
      </c>
      <c r="AZ390" s="238">
        <v>60666666.666666701</v>
      </c>
      <c r="BA390" s="238"/>
      <c r="BB390" s="238">
        <v>0.13400000000000001</v>
      </c>
      <c r="BC390" s="238"/>
      <c r="BD390" s="238"/>
      <c r="BE390" s="238"/>
    </row>
    <row r="391" spans="1:57">
      <c r="A391" s="237" t="s">
        <v>787</v>
      </c>
      <c r="B391" s="237" t="s">
        <v>476</v>
      </c>
      <c r="C391" s="237">
        <v>2013</v>
      </c>
      <c r="D391" s="237"/>
      <c r="E391" s="237">
        <v>2013</v>
      </c>
      <c r="F391" s="237" t="s">
        <v>27</v>
      </c>
      <c r="G391" s="237" t="s">
        <v>477</v>
      </c>
      <c r="H391" s="237">
        <v>3000</v>
      </c>
      <c r="I391" s="237">
        <v>100</v>
      </c>
      <c r="J391" s="237" t="s">
        <v>478</v>
      </c>
      <c r="K391" s="237"/>
      <c r="L391" s="237" t="s">
        <v>31</v>
      </c>
      <c r="M391" s="237">
        <v>100</v>
      </c>
      <c r="N391" s="237">
        <v>31.37</v>
      </c>
      <c r="O391" s="237"/>
      <c r="P391" s="237">
        <v>8.7100000000000009</v>
      </c>
      <c r="Q391" s="237"/>
      <c r="R391" s="237"/>
      <c r="S391" s="237"/>
      <c r="T391" s="237"/>
      <c r="U391" s="237">
        <v>20</v>
      </c>
      <c r="V391" s="237"/>
      <c r="W391" s="237"/>
      <c r="X391" s="237"/>
      <c r="Y391" s="237"/>
      <c r="Z391" s="237"/>
      <c r="AA391" s="237"/>
      <c r="AB391" s="237" t="s">
        <v>487</v>
      </c>
      <c r="AC391" s="237">
        <v>2.83</v>
      </c>
      <c r="AD391" s="237" t="s">
        <v>22</v>
      </c>
      <c r="AE391" s="237"/>
      <c r="AF391" s="237">
        <v>0.35197869100000001</v>
      </c>
      <c r="AG391" s="237">
        <v>300000</v>
      </c>
      <c r="AH391" s="237">
        <v>9410000000</v>
      </c>
      <c r="AI391" s="237"/>
      <c r="AJ391" s="237"/>
      <c r="AK391" s="237" t="s">
        <v>769</v>
      </c>
      <c r="AL391" s="237" t="s">
        <v>597</v>
      </c>
      <c r="AM391" s="237">
        <v>310.36672750000002</v>
      </c>
      <c r="AN391" s="237" t="s">
        <v>486</v>
      </c>
      <c r="AO391" s="237" t="s">
        <v>356</v>
      </c>
      <c r="AP391" s="237"/>
      <c r="AQ391" s="237">
        <v>2613888889</v>
      </c>
      <c r="AR391" s="237"/>
      <c r="AS391" s="237"/>
      <c r="AT391" s="237"/>
      <c r="AU391" s="237"/>
      <c r="AV391" s="237"/>
      <c r="AW391" s="237">
        <v>925000000</v>
      </c>
      <c r="AX391" s="237"/>
      <c r="AY391" s="237">
        <v>18500000000</v>
      </c>
      <c r="AZ391" s="237">
        <v>61666666.666666701</v>
      </c>
      <c r="BA391" s="237"/>
      <c r="BB391" s="237">
        <v>0.14099999999999999</v>
      </c>
      <c r="BC391" s="237"/>
      <c r="BD391" s="237"/>
      <c r="BE391" s="237"/>
    </row>
    <row r="392" spans="1:57">
      <c r="A392" s="238" t="s">
        <v>787</v>
      </c>
      <c r="B392" s="238" t="s">
        <v>476</v>
      </c>
      <c r="C392" s="238">
        <v>2013</v>
      </c>
      <c r="D392" s="238"/>
      <c r="E392" s="238">
        <v>2013</v>
      </c>
      <c r="F392" s="238" t="s">
        <v>27</v>
      </c>
      <c r="G392" s="238" t="s">
        <v>477</v>
      </c>
      <c r="H392" s="238">
        <v>3000</v>
      </c>
      <c r="I392" s="238">
        <v>100</v>
      </c>
      <c r="J392" s="238" t="s">
        <v>478</v>
      </c>
      <c r="K392" s="238"/>
      <c r="L392" s="238" t="s">
        <v>31</v>
      </c>
      <c r="M392" s="238">
        <v>100</v>
      </c>
      <c r="N392" s="238">
        <v>29.07</v>
      </c>
      <c r="O392" s="238"/>
      <c r="P392" s="238">
        <v>8.07</v>
      </c>
      <c r="Q392" s="238"/>
      <c r="R392" s="238"/>
      <c r="S392" s="238"/>
      <c r="T392" s="238"/>
      <c r="U392" s="238">
        <v>20</v>
      </c>
      <c r="V392" s="238"/>
      <c r="W392" s="238"/>
      <c r="X392" s="238"/>
      <c r="Y392" s="238"/>
      <c r="Z392" s="238"/>
      <c r="AA392" s="238"/>
      <c r="AB392" s="238" t="s">
        <v>480</v>
      </c>
      <c r="AC392" s="238">
        <v>3.15</v>
      </c>
      <c r="AD392" s="238" t="s">
        <v>22</v>
      </c>
      <c r="AE392" s="238"/>
      <c r="AF392" s="238">
        <v>0.29299847800000001</v>
      </c>
      <c r="AG392" s="238">
        <v>300000</v>
      </c>
      <c r="AH392" s="238">
        <v>8720000000</v>
      </c>
      <c r="AI392" s="238"/>
      <c r="AJ392" s="238"/>
      <c r="AK392" s="238" t="s">
        <v>769</v>
      </c>
      <c r="AL392" s="238" t="s">
        <v>597</v>
      </c>
      <c r="AM392" s="238">
        <v>310.36672750000002</v>
      </c>
      <c r="AN392" s="238" t="s">
        <v>479</v>
      </c>
      <c r="AO392" s="238" t="s">
        <v>356</v>
      </c>
      <c r="AP392" s="238"/>
      <c r="AQ392" s="238">
        <v>2422222222</v>
      </c>
      <c r="AR392" s="238"/>
      <c r="AS392" s="238"/>
      <c r="AT392" s="238"/>
      <c r="AU392" s="238"/>
      <c r="AV392" s="238"/>
      <c r="AW392" s="238">
        <v>770000000</v>
      </c>
      <c r="AX392" s="238"/>
      <c r="AY392" s="238">
        <v>15400000000</v>
      </c>
      <c r="AZ392" s="238">
        <v>51333333.333333299</v>
      </c>
      <c r="BA392" s="238"/>
      <c r="BB392" s="238">
        <v>0.157</v>
      </c>
      <c r="BC392" s="238"/>
      <c r="BD392" s="238"/>
      <c r="BE392" s="238"/>
    </row>
    <row r="393" spans="1:57">
      <c r="A393" s="237" t="s">
        <v>787</v>
      </c>
      <c r="B393" s="237" t="s">
        <v>476</v>
      </c>
      <c r="C393" s="237">
        <v>2013</v>
      </c>
      <c r="D393" s="237"/>
      <c r="E393" s="237">
        <v>2013</v>
      </c>
      <c r="F393" s="237" t="s">
        <v>27</v>
      </c>
      <c r="G393" s="237" t="s">
        <v>477</v>
      </c>
      <c r="H393" s="237">
        <v>3000</v>
      </c>
      <c r="I393" s="237">
        <v>100</v>
      </c>
      <c r="J393" s="237" t="s">
        <v>478</v>
      </c>
      <c r="K393" s="237"/>
      <c r="L393" s="237" t="s">
        <v>31</v>
      </c>
      <c r="M393" s="237">
        <v>100</v>
      </c>
      <c r="N393" s="237">
        <v>20.93</v>
      </c>
      <c r="O393" s="237"/>
      <c r="P393" s="237">
        <v>5.81</v>
      </c>
      <c r="Q393" s="237"/>
      <c r="R393" s="237"/>
      <c r="S393" s="237"/>
      <c r="T393" s="237"/>
      <c r="U393" s="237">
        <v>20</v>
      </c>
      <c r="V393" s="237"/>
      <c r="W393" s="237"/>
      <c r="X393" s="237"/>
      <c r="Y393" s="237"/>
      <c r="Z393" s="237"/>
      <c r="AA393" s="237"/>
      <c r="AB393" s="237" t="s">
        <v>482</v>
      </c>
      <c r="AC393" s="237">
        <v>2.19</v>
      </c>
      <c r="AD393" s="237" t="s">
        <v>22</v>
      </c>
      <c r="AE393" s="237"/>
      <c r="AF393" s="237">
        <v>0.30251141599999998</v>
      </c>
      <c r="AG393" s="237">
        <v>300000</v>
      </c>
      <c r="AH393" s="237">
        <v>6280000000</v>
      </c>
      <c r="AI393" s="237"/>
      <c r="AJ393" s="237"/>
      <c r="AK393" s="237" t="s">
        <v>769</v>
      </c>
      <c r="AL393" s="237" t="s">
        <v>597</v>
      </c>
      <c r="AM393" s="237">
        <v>310.36672750000002</v>
      </c>
      <c r="AN393" s="237" t="s">
        <v>481</v>
      </c>
      <c r="AO393" s="237" t="s">
        <v>356</v>
      </c>
      <c r="AP393" s="237"/>
      <c r="AQ393" s="237">
        <v>1744444444</v>
      </c>
      <c r="AR393" s="237"/>
      <c r="AS393" s="237"/>
      <c r="AT393" s="237"/>
      <c r="AU393" s="237"/>
      <c r="AV393" s="237"/>
      <c r="AW393" s="237">
        <v>795000000</v>
      </c>
      <c r="AX393" s="237"/>
      <c r="AY393" s="237">
        <v>15900000000</v>
      </c>
      <c r="AZ393" s="237">
        <v>53000000</v>
      </c>
      <c r="BA393" s="237"/>
      <c r="BB393" s="237">
        <v>0.11</v>
      </c>
      <c r="BC393" s="237"/>
      <c r="BD393" s="237"/>
      <c r="BE393" s="237"/>
    </row>
    <row r="394" spans="1:57">
      <c r="A394" s="238" t="s">
        <v>787</v>
      </c>
      <c r="B394" s="238" t="s">
        <v>476</v>
      </c>
      <c r="C394" s="238">
        <v>2013</v>
      </c>
      <c r="D394" s="238"/>
      <c r="E394" s="238">
        <v>2013</v>
      </c>
      <c r="F394" s="238" t="s">
        <v>27</v>
      </c>
      <c r="G394" s="238" t="s">
        <v>477</v>
      </c>
      <c r="H394" s="238">
        <v>3000</v>
      </c>
      <c r="I394" s="238">
        <v>100</v>
      </c>
      <c r="J394" s="238" t="s">
        <v>478</v>
      </c>
      <c r="K394" s="238"/>
      <c r="L394" s="238" t="s">
        <v>31</v>
      </c>
      <c r="M394" s="238">
        <v>100</v>
      </c>
      <c r="N394" s="238">
        <v>31.1</v>
      </c>
      <c r="O394" s="238"/>
      <c r="P394" s="238">
        <v>8.64</v>
      </c>
      <c r="Q394" s="238"/>
      <c r="R394" s="238"/>
      <c r="S394" s="238"/>
      <c r="T394" s="238"/>
      <c r="U394" s="238">
        <v>20</v>
      </c>
      <c r="V394" s="238"/>
      <c r="W394" s="238"/>
      <c r="X394" s="238"/>
      <c r="Y394" s="238"/>
      <c r="Z394" s="238"/>
      <c r="AA394" s="238"/>
      <c r="AB394" s="238" t="s">
        <v>484</v>
      </c>
      <c r="AC394" s="238">
        <v>3.24</v>
      </c>
      <c r="AD394" s="238" t="s">
        <v>22</v>
      </c>
      <c r="AE394" s="238"/>
      <c r="AF394" s="238">
        <v>0.30441400299999999</v>
      </c>
      <c r="AG394" s="238">
        <v>300000</v>
      </c>
      <c r="AH394" s="238">
        <v>9330000000</v>
      </c>
      <c r="AI394" s="238"/>
      <c r="AJ394" s="238"/>
      <c r="AK394" s="238" t="s">
        <v>769</v>
      </c>
      <c r="AL394" s="238" t="s">
        <v>597</v>
      </c>
      <c r="AM394" s="238">
        <v>310.36672750000002</v>
      </c>
      <c r="AN394" s="238" t="s">
        <v>483</v>
      </c>
      <c r="AO394" s="238" t="s">
        <v>356</v>
      </c>
      <c r="AP394" s="238"/>
      <c r="AQ394" s="238">
        <v>2591666667</v>
      </c>
      <c r="AR394" s="238"/>
      <c r="AS394" s="238"/>
      <c r="AT394" s="238"/>
      <c r="AU394" s="238"/>
      <c r="AV394" s="238"/>
      <c r="AW394" s="238">
        <v>800000000</v>
      </c>
      <c r="AX394" s="238"/>
      <c r="AY394" s="238">
        <v>16000000000</v>
      </c>
      <c r="AZ394" s="238">
        <v>53333333.333333299</v>
      </c>
      <c r="BA394" s="238"/>
      <c r="BB394" s="238">
        <v>0.16200000000000001</v>
      </c>
      <c r="BC394" s="238"/>
      <c r="BD394" s="238"/>
      <c r="BE394" s="238"/>
    </row>
    <row r="395" spans="1:57">
      <c r="A395" s="237" t="s">
        <v>787</v>
      </c>
      <c r="B395" s="237" t="s">
        <v>476</v>
      </c>
      <c r="C395" s="237">
        <v>2013</v>
      </c>
      <c r="D395" s="237"/>
      <c r="E395" s="237">
        <v>2013</v>
      </c>
      <c r="F395" s="237" t="s">
        <v>27</v>
      </c>
      <c r="G395" s="237" t="s">
        <v>477</v>
      </c>
      <c r="H395" s="237">
        <v>3000</v>
      </c>
      <c r="I395" s="237">
        <v>100</v>
      </c>
      <c r="J395" s="237" t="s">
        <v>478</v>
      </c>
      <c r="K395" s="237"/>
      <c r="L395" s="237" t="s">
        <v>31</v>
      </c>
      <c r="M395" s="237">
        <v>100</v>
      </c>
      <c r="N395" s="237">
        <v>32.1</v>
      </c>
      <c r="O395" s="237"/>
      <c r="P395" s="237">
        <v>8.92</v>
      </c>
      <c r="Q395" s="237"/>
      <c r="R395" s="237"/>
      <c r="S395" s="237"/>
      <c r="T395" s="237"/>
      <c r="U395" s="237">
        <v>20</v>
      </c>
      <c r="V395" s="237"/>
      <c r="W395" s="237"/>
      <c r="X395" s="237"/>
      <c r="Y395" s="237"/>
      <c r="Z395" s="237"/>
      <c r="AA395" s="237"/>
      <c r="AB395" s="237" t="s">
        <v>485</v>
      </c>
      <c r="AC395" s="237">
        <v>3.3</v>
      </c>
      <c r="AD395" s="237" t="s">
        <v>22</v>
      </c>
      <c r="AE395" s="237"/>
      <c r="AF395" s="237">
        <v>0.30821917799999998</v>
      </c>
      <c r="AG395" s="237">
        <v>300000</v>
      </c>
      <c r="AH395" s="237">
        <v>9630000000</v>
      </c>
      <c r="AI395" s="237"/>
      <c r="AJ395" s="237"/>
      <c r="AK395" s="237" t="s">
        <v>769</v>
      </c>
      <c r="AL395" s="237" t="s">
        <v>597</v>
      </c>
      <c r="AM395" s="237">
        <v>310.36672750000002</v>
      </c>
      <c r="AN395" s="237" t="s">
        <v>483</v>
      </c>
      <c r="AO395" s="237" t="s">
        <v>356</v>
      </c>
      <c r="AP395" s="237"/>
      <c r="AQ395" s="237">
        <v>2675000000</v>
      </c>
      <c r="AR395" s="237"/>
      <c r="AS395" s="237"/>
      <c r="AT395" s="237"/>
      <c r="AU395" s="237"/>
      <c r="AV395" s="237"/>
      <c r="AW395" s="237">
        <v>810000000</v>
      </c>
      <c r="AX395" s="237"/>
      <c r="AY395" s="237">
        <v>16200000000</v>
      </c>
      <c r="AZ395" s="237">
        <v>54000000</v>
      </c>
      <c r="BA395" s="237"/>
      <c r="BB395" s="237">
        <v>0.16500000000000001</v>
      </c>
      <c r="BC395" s="237"/>
      <c r="BD395" s="237"/>
      <c r="BE395" s="237"/>
    </row>
    <row r="396" spans="1:57">
      <c r="A396" s="238" t="s">
        <v>787</v>
      </c>
      <c r="B396" s="238" t="s">
        <v>476</v>
      </c>
      <c r="C396" s="238">
        <v>2013</v>
      </c>
      <c r="D396" s="238"/>
      <c r="E396" s="238">
        <v>2013</v>
      </c>
      <c r="F396" s="238" t="s">
        <v>27</v>
      </c>
      <c r="G396" s="238" t="s">
        <v>477</v>
      </c>
      <c r="H396" s="238">
        <v>3000</v>
      </c>
      <c r="I396" s="238">
        <v>100</v>
      </c>
      <c r="J396" s="238" t="s">
        <v>478</v>
      </c>
      <c r="K396" s="238"/>
      <c r="L396" s="238" t="s">
        <v>31</v>
      </c>
      <c r="M396" s="238">
        <v>100</v>
      </c>
      <c r="N396" s="238">
        <v>36.57</v>
      </c>
      <c r="O396" s="238"/>
      <c r="P396" s="238">
        <v>10.16</v>
      </c>
      <c r="Q396" s="238"/>
      <c r="R396" s="238"/>
      <c r="S396" s="238"/>
      <c r="T396" s="238"/>
      <c r="U396" s="238">
        <v>20</v>
      </c>
      <c r="V396" s="238"/>
      <c r="W396" s="238"/>
      <c r="X396" s="238"/>
      <c r="Y396" s="238"/>
      <c r="Z396" s="238"/>
      <c r="AA396" s="238"/>
      <c r="AB396" s="238" t="s">
        <v>487</v>
      </c>
      <c r="AC396" s="238">
        <v>3.72</v>
      </c>
      <c r="AD396" s="238" t="s">
        <v>22</v>
      </c>
      <c r="AE396" s="238"/>
      <c r="AF396" s="238">
        <v>0.31202435299999998</v>
      </c>
      <c r="AG396" s="238">
        <v>300000</v>
      </c>
      <c r="AH396" s="238">
        <v>10970000000</v>
      </c>
      <c r="AI396" s="238"/>
      <c r="AJ396" s="238"/>
      <c r="AK396" s="238" t="s">
        <v>769</v>
      </c>
      <c r="AL396" s="238" t="s">
        <v>597</v>
      </c>
      <c r="AM396" s="238">
        <v>310.36672750000002</v>
      </c>
      <c r="AN396" s="238" t="s">
        <v>483</v>
      </c>
      <c r="AO396" s="238" t="s">
        <v>356</v>
      </c>
      <c r="AP396" s="238"/>
      <c r="AQ396" s="238">
        <v>3047222222</v>
      </c>
      <c r="AR396" s="238"/>
      <c r="AS396" s="238"/>
      <c r="AT396" s="238"/>
      <c r="AU396" s="238"/>
      <c r="AV396" s="238"/>
      <c r="AW396" s="238">
        <v>820000000</v>
      </c>
      <c r="AX396" s="238"/>
      <c r="AY396" s="238">
        <v>16400000000</v>
      </c>
      <c r="AZ396" s="238">
        <v>54666666.666666701</v>
      </c>
      <c r="BA396" s="238"/>
      <c r="BB396" s="238">
        <v>0.186</v>
      </c>
      <c r="BC396" s="238"/>
      <c r="BD396" s="238"/>
      <c r="BE396" s="238"/>
    </row>
    <row r="397" spans="1:57">
      <c r="A397" s="237" t="s">
        <v>786</v>
      </c>
      <c r="B397" s="237" t="s">
        <v>488</v>
      </c>
      <c r="C397" s="237">
        <v>2013</v>
      </c>
      <c r="D397" s="237"/>
      <c r="E397" s="237">
        <v>2013</v>
      </c>
      <c r="F397" s="237" t="s">
        <v>74</v>
      </c>
      <c r="G397" s="237" t="s">
        <v>374</v>
      </c>
      <c r="H397" s="237">
        <v>1650</v>
      </c>
      <c r="I397" s="237">
        <v>1</v>
      </c>
      <c r="J397" s="237"/>
      <c r="K397" s="237"/>
      <c r="L397" s="237" t="s">
        <v>24</v>
      </c>
      <c r="M397" s="237">
        <v>75</v>
      </c>
      <c r="N397" s="237">
        <v>7.4</v>
      </c>
      <c r="O397" s="237"/>
      <c r="P397" s="237">
        <v>2.06</v>
      </c>
      <c r="Q397" s="237"/>
      <c r="R397" s="237"/>
      <c r="S397" s="237"/>
      <c r="T397" s="237"/>
      <c r="U397" s="237">
        <v>20</v>
      </c>
      <c r="V397" s="237"/>
      <c r="W397" s="237"/>
      <c r="X397" s="237"/>
      <c r="Y397" s="237"/>
      <c r="Z397" s="237"/>
      <c r="AA397" s="237"/>
      <c r="AB397" s="237"/>
      <c r="AC397" s="237">
        <v>1.1200000000000001</v>
      </c>
      <c r="AD397" s="237" t="s">
        <v>22</v>
      </c>
      <c r="AE397" s="237"/>
      <c r="AF397" s="237">
        <v>0.209599972</v>
      </c>
      <c r="AG397" s="237">
        <v>1650</v>
      </c>
      <c r="AH397" s="237">
        <v>12211200</v>
      </c>
      <c r="AI397" s="237"/>
      <c r="AJ397" s="237"/>
      <c r="AK397" s="237" t="s">
        <v>769</v>
      </c>
      <c r="AL397" s="237" t="s">
        <v>597</v>
      </c>
      <c r="AM397" s="237">
        <v>310.36672750000002</v>
      </c>
      <c r="AN397" s="237"/>
      <c r="AO397" s="237" t="s">
        <v>340</v>
      </c>
      <c r="AP397" s="237"/>
      <c r="AQ397" s="237">
        <v>3392000</v>
      </c>
      <c r="AR397" s="237"/>
      <c r="AS397" s="237"/>
      <c r="AT397" s="237"/>
      <c r="AU397" s="237"/>
      <c r="AV397" s="237"/>
      <c r="AW397" s="237">
        <v>3029558</v>
      </c>
      <c r="AX397" s="237"/>
      <c r="AY397" s="237">
        <v>60591160</v>
      </c>
      <c r="AZ397" s="237">
        <v>36721915.151515201</v>
      </c>
      <c r="BA397" s="237"/>
      <c r="BB397" s="237">
        <v>5.6000000000000001E-2</v>
      </c>
      <c r="BC397" s="237"/>
      <c r="BD397" s="237"/>
      <c r="BE397" s="237"/>
    </row>
    <row r="398" spans="1:57">
      <c r="A398" s="237" t="s">
        <v>782</v>
      </c>
      <c r="B398" s="237" t="s">
        <v>513</v>
      </c>
      <c r="C398" s="237">
        <v>2013</v>
      </c>
      <c r="D398" s="237"/>
      <c r="E398" s="237">
        <v>2013</v>
      </c>
      <c r="F398" s="237" t="s">
        <v>27</v>
      </c>
      <c r="G398" s="237" t="s">
        <v>214</v>
      </c>
      <c r="H398" s="237">
        <v>1800</v>
      </c>
      <c r="I398" s="237">
        <v>90</v>
      </c>
      <c r="J398" s="237" t="s">
        <v>781</v>
      </c>
      <c r="K398" s="237"/>
      <c r="L398" s="237" t="s">
        <v>24</v>
      </c>
      <c r="M398" s="237"/>
      <c r="N398" s="237"/>
      <c r="O398" s="237"/>
      <c r="P398" s="237"/>
      <c r="Q398" s="237"/>
      <c r="R398" s="237"/>
      <c r="S398" s="237"/>
      <c r="T398" s="237"/>
      <c r="U398" s="237">
        <v>26</v>
      </c>
      <c r="V398" s="237">
        <v>25.5</v>
      </c>
      <c r="W398" s="237">
        <v>0.1</v>
      </c>
      <c r="X398" s="237"/>
      <c r="Y398" s="237"/>
      <c r="Z398" s="237"/>
      <c r="AA398" s="237">
        <v>0.02</v>
      </c>
      <c r="AB398" s="237"/>
      <c r="AC398" s="237">
        <v>1.02</v>
      </c>
      <c r="AD398" s="237" t="s">
        <v>514</v>
      </c>
      <c r="AE398" s="237"/>
      <c r="AF398" s="237">
        <v>0.24522239100000001</v>
      </c>
      <c r="AG398" s="237">
        <v>162000</v>
      </c>
      <c r="AH398" s="237"/>
      <c r="AI398" s="237"/>
      <c r="AJ398" s="237"/>
      <c r="AK398" s="237" t="s">
        <v>769</v>
      </c>
      <c r="AL398" s="237" t="s">
        <v>597</v>
      </c>
      <c r="AM398" s="237">
        <v>310.36672750000002</v>
      </c>
      <c r="AN398" s="237"/>
      <c r="AO398" s="237" t="s">
        <v>340</v>
      </c>
      <c r="AP398" s="237"/>
      <c r="AQ398" s="237"/>
      <c r="AR398" s="237"/>
      <c r="AS398" s="237"/>
      <c r="AT398" s="237"/>
      <c r="AU398" s="237"/>
      <c r="AV398" s="237"/>
      <c r="AW398" s="237">
        <v>348000000</v>
      </c>
      <c r="AX398" s="237"/>
      <c r="AY398" s="237">
        <v>9048000000</v>
      </c>
      <c r="AZ398" s="237">
        <v>55851851.851851903</v>
      </c>
      <c r="BA398" s="237"/>
      <c r="BB398" s="237"/>
      <c r="BC398" s="237"/>
      <c r="BD398" s="237"/>
      <c r="BE398" s="237"/>
    </row>
    <row r="399" spans="1:57">
      <c r="A399" s="238" t="s">
        <v>779</v>
      </c>
      <c r="B399" s="238" t="s">
        <v>399</v>
      </c>
      <c r="C399" s="238">
        <v>2013</v>
      </c>
      <c r="D399" s="238"/>
      <c r="E399" s="238">
        <v>2013</v>
      </c>
      <c r="F399" s="238" t="s">
        <v>27</v>
      </c>
      <c r="G399" s="238" t="s">
        <v>224</v>
      </c>
      <c r="H399" s="238">
        <v>3000</v>
      </c>
      <c r="I399" s="238">
        <v>30</v>
      </c>
      <c r="J399" s="238" t="s">
        <v>498</v>
      </c>
      <c r="K399" s="238"/>
      <c r="L399" s="238" t="s">
        <v>24</v>
      </c>
      <c r="M399" s="238">
        <v>80</v>
      </c>
      <c r="N399" s="238">
        <v>5.79</v>
      </c>
      <c r="O399" s="238"/>
      <c r="P399" s="238">
        <v>1.61</v>
      </c>
      <c r="Q399" s="238"/>
      <c r="R399" s="238"/>
      <c r="S399" s="238"/>
      <c r="T399" s="238"/>
      <c r="U399" s="238">
        <v>20</v>
      </c>
      <c r="V399" s="238"/>
      <c r="W399" s="238"/>
      <c r="X399" s="238"/>
      <c r="Y399" s="238"/>
      <c r="Z399" s="238"/>
      <c r="AA399" s="238"/>
      <c r="AB399" s="238"/>
      <c r="AC399" s="238">
        <v>0.44</v>
      </c>
      <c r="AD399" s="238" t="s">
        <v>464</v>
      </c>
      <c r="AE399" s="238">
        <v>100</v>
      </c>
      <c r="AF399" s="238">
        <v>0.41311516999999998</v>
      </c>
      <c r="AG399" s="238">
        <v>90000</v>
      </c>
      <c r="AH399" s="238">
        <v>521120000</v>
      </c>
      <c r="AI399" s="238"/>
      <c r="AJ399" s="238"/>
      <c r="AK399" s="238" t="s">
        <v>769</v>
      </c>
      <c r="AL399" s="238" t="s">
        <v>597</v>
      </c>
      <c r="AM399" s="238">
        <v>310.36672750000002</v>
      </c>
      <c r="AN399" s="238"/>
      <c r="AO399" s="238" t="s">
        <v>356</v>
      </c>
      <c r="AP399" s="238"/>
      <c r="AQ399" s="238">
        <v>144755556</v>
      </c>
      <c r="AR399" s="238"/>
      <c r="AS399" s="238"/>
      <c r="AT399" s="238"/>
      <c r="AU399" s="238"/>
      <c r="AV399" s="238"/>
      <c r="AW399" s="238">
        <v>325700000</v>
      </c>
      <c r="AX399" s="238"/>
      <c r="AY399" s="238">
        <v>6514000000</v>
      </c>
      <c r="AZ399" s="238">
        <v>72377777.777777806</v>
      </c>
      <c r="BA399" s="238"/>
      <c r="BB399" s="238">
        <v>2.1999999999999999E-2</v>
      </c>
      <c r="BC399" s="238"/>
      <c r="BD399" s="238"/>
      <c r="BE399" s="238"/>
    </row>
    <row r="400" spans="1:57">
      <c r="A400" s="237" t="s">
        <v>778</v>
      </c>
      <c r="B400" s="237" t="s">
        <v>399</v>
      </c>
      <c r="C400" s="237">
        <v>2013</v>
      </c>
      <c r="D400" s="237"/>
      <c r="E400" s="237">
        <v>2013</v>
      </c>
      <c r="F400" s="237" t="s">
        <v>27</v>
      </c>
      <c r="G400" s="237" t="s">
        <v>224</v>
      </c>
      <c r="H400" s="237">
        <v>2600</v>
      </c>
      <c r="I400" s="237">
        <v>35</v>
      </c>
      <c r="J400" s="237" t="s">
        <v>522</v>
      </c>
      <c r="K400" s="237"/>
      <c r="L400" s="237" t="s">
        <v>24</v>
      </c>
      <c r="M400" s="237">
        <v>80</v>
      </c>
      <c r="N400" s="237">
        <v>6.73</v>
      </c>
      <c r="O400" s="237"/>
      <c r="P400" s="237">
        <v>1.87</v>
      </c>
      <c r="Q400" s="237"/>
      <c r="R400" s="237"/>
      <c r="S400" s="237"/>
      <c r="T400" s="237"/>
      <c r="U400" s="237">
        <v>20</v>
      </c>
      <c r="V400" s="237"/>
      <c r="W400" s="237"/>
      <c r="X400" s="237"/>
      <c r="Y400" s="237"/>
      <c r="Z400" s="237"/>
      <c r="AA400" s="237"/>
      <c r="AB400" s="237"/>
      <c r="AC400" s="237">
        <v>0.56000000000000005</v>
      </c>
      <c r="AD400" s="237" t="s">
        <v>464</v>
      </c>
      <c r="AE400" s="237">
        <v>90</v>
      </c>
      <c r="AF400" s="237">
        <v>0.38392543499999998</v>
      </c>
      <c r="AG400" s="237">
        <v>91000</v>
      </c>
      <c r="AH400" s="237">
        <v>612100000</v>
      </c>
      <c r="AI400" s="237"/>
      <c r="AJ400" s="237"/>
      <c r="AK400" s="237" t="s">
        <v>769</v>
      </c>
      <c r="AL400" s="237" t="s">
        <v>597</v>
      </c>
      <c r="AM400" s="237">
        <v>310.36672750000002</v>
      </c>
      <c r="AN400" s="237"/>
      <c r="AO400" s="237" t="s">
        <v>356</v>
      </c>
      <c r="AP400" s="237"/>
      <c r="AQ400" s="237">
        <v>170027778</v>
      </c>
      <c r="AR400" s="237"/>
      <c r="AS400" s="237"/>
      <c r="AT400" s="237"/>
      <c r="AU400" s="237"/>
      <c r="AV400" s="237"/>
      <c r="AW400" s="237">
        <v>306050000</v>
      </c>
      <c r="AX400" s="237"/>
      <c r="AY400" s="237">
        <v>6121000000</v>
      </c>
      <c r="AZ400" s="237">
        <v>67263736.263736293</v>
      </c>
      <c r="BA400" s="237"/>
      <c r="BB400" s="237">
        <v>2.8000000000000001E-2</v>
      </c>
      <c r="BC400" s="237"/>
      <c r="BD400" s="237"/>
      <c r="BE400" s="237"/>
    </row>
    <row r="401" spans="1:57">
      <c r="A401" s="237" t="s">
        <v>772</v>
      </c>
      <c r="B401" s="237" t="s">
        <v>413</v>
      </c>
      <c r="C401" s="237">
        <v>2013</v>
      </c>
      <c r="D401" s="237"/>
      <c r="E401" s="237">
        <v>2013</v>
      </c>
      <c r="F401" s="237" t="s">
        <v>27</v>
      </c>
      <c r="G401" s="237" t="s">
        <v>212</v>
      </c>
      <c r="H401" s="237">
        <v>5000</v>
      </c>
      <c r="I401" s="237">
        <v>12</v>
      </c>
      <c r="J401" s="237" t="s">
        <v>528</v>
      </c>
      <c r="K401" s="237"/>
      <c r="L401" s="237" t="s">
        <v>31</v>
      </c>
      <c r="M401" s="237"/>
      <c r="N401" s="237">
        <v>38.33</v>
      </c>
      <c r="O401" s="237"/>
      <c r="P401" s="237">
        <v>10.65</v>
      </c>
      <c r="Q401" s="237"/>
      <c r="R401" s="237"/>
      <c r="S401" s="237"/>
      <c r="T401" s="237"/>
      <c r="U401" s="237">
        <v>20</v>
      </c>
      <c r="V401" s="237"/>
      <c r="W401" s="237"/>
      <c r="X401" s="237"/>
      <c r="Y401" s="237"/>
      <c r="Z401" s="237"/>
      <c r="AA401" s="237"/>
      <c r="AB401" s="237"/>
      <c r="AC401" s="237">
        <v>2.21</v>
      </c>
      <c r="AD401" s="237" t="s">
        <v>86</v>
      </c>
      <c r="AE401" s="237"/>
      <c r="AF401" s="237">
        <v>0.46232876699999997</v>
      </c>
      <c r="AG401" s="237">
        <v>60000</v>
      </c>
      <c r="AH401" s="237">
        <v>2300000000</v>
      </c>
      <c r="AI401" s="237"/>
      <c r="AJ401" s="237"/>
      <c r="AK401" s="237" t="s">
        <v>769</v>
      </c>
      <c r="AL401" s="237" t="s">
        <v>597</v>
      </c>
      <c r="AM401" s="237">
        <v>310.36672750000002</v>
      </c>
      <c r="AN401" s="237"/>
      <c r="AO401" s="237" t="s">
        <v>340</v>
      </c>
      <c r="AP401" s="237"/>
      <c r="AQ401" s="237">
        <v>638888889</v>
      </c>
      <c r="AR401" s="237"/>
      <c r="AS401" s="237"/>
      <c r="AT401" s="237"/>
      <c r="AU401" s="237"/>
      <c r="AV401" s="237"/>
      <c r="AW401" s="237">
        <v>243000000</v>
      </c>
      <c r="AX401" s="237"/>
      <c r="AY401" s="237">
        <v>4860000000</v>
      </c>
      <c r="AZ401" s="237">
        <v>81000000</v>
      </c>
      <c r="BA401" s="237"/>
      <c r="BB401" s="237">
        <v>0.13100000000000001</v>
      </c>
      <c r="BC401" s="237"/>
      <c r="BD401" s="237"/>
      <c r="BE401" s="237"/>
    </row>
    <row r="402" spans="1:57">
      <c r="A402" s="238" t="s">
        <v>771</v>
      </c>
      <c r="B402" s="238" t="s">
        <v>403</v>
      </c>
      <c r="C402" s="238">
        <v>2013</v>
      </c>
      <c r="D402" s="238"/>
      <c r="E402" s="238">
        <v>2013</v>
      </c>
      <c r="F402" s="238" t="s">
        <v>27</v>
      </c>
      <c r="G402" s="238" t="s">
        <v>19</v>
      </c>
      <c r="H402" s="238">
        <v>1500</v>
      </c>
      <c r="I402" s="238">
        <v>33</v>
      </c>
      <c r="J402" s="238"/>
      <c r="K402" s="238"/>
      <c r="L402" s="238"/>
      <c r="M402" s="238"/>
      <c r="N402" s="238">
        <v>5.49</v>
      </c>
      <c r="O402" s="238"/>
      <c r="P402" s="238">
        <v>1.53</v>
      </c>
      <c r="Q402" s="238"/>
      <c r="R402" s="238"/>
      <c r="S402" s="238"/>
      <c r="T402" s="238"/>
      <c r="U402" s="238">
        <v>20</v>
      </c>
      <c r="V402" s="238"/>
      <c r="W402" s="238"/>
      <c r="X402" s="238"/>
      <c r="Y402" s="238"/>
      <c r="Z402" s="238"/>
      <c r="AA402" s="238"/>
      <c r="AB402" s="238"/>
      <c r="AC402" s="238">
        <v>0.68</v>
      </c>
      <c r="AD402" s="238" t="s">
        <v>464</v>
      </c>
      <c r="AE402" s="238"/>
      <c r="AF402" s="238">
        <v>0.25759881899999998</v>
      </c>
      <c r="AG402" s="238">
        <v>49500</v>
      </c>
      <c r="AH402" s="238">
        <v>272000000</v>
      </c>
      <c r="AI402" s="238"/>
      <c r="AJ402" s="238"/>
      <c r="AK402" s="238" t="s">
        <v>769</v>
      </c>
      <c r="AL402" s="238" t="s">
        <v>597</v>
      </c>
      <c r="AM402" s="238">
        <v>310.36672750000002</v>
      </c>
      <c r="AN402" s="238"/>
      <c r="AO402" s="238" t="s">
        <v>356</v>
      </c>
      <c r="AP402" s="238"/>
      <c r="AQ402" s="238">
        <v>75555556</v>
      </c>
      <c r="AR402" s="238"/>
      <c r="AS402" s="238"/>
      <c r="AT402" s="238"/>
      <c r="AU402" s="238"/>
      <c r="AV402" s="238"/>
      <c r="AW402" s="238">
        <v>111700000</v>
      </c>
      <c r="AX402" s="238"/>
      <c r="AY402" s="238">
        <v>2234000000</v>
      </c>
      <c r="AZ402" s="238">
        <v>45131313.1313131</v>
      </c>
      <c r="BA402" s="238"/>
      <c r="BB402" s="238">
        <v>3.4000000000000002E-2</v>
      </c>
      <c r="BC402" s="238"/>
      <c r="BD402" s="238"/>
      <c r="BE402" s="238"/>
    </row>
    <row r="403" spans="1:57">
      <c r="A403" t="s">
        <v>660</v>
      </c>
      <c r="B403" t="s">
        <v>175</v>
      </c>
      <c r="C403">
        <v>2013</v>
      </c>
      <c r="E403">
        <v>2013</v>
      </c>
      <c r="F403" t="s">
        <v>27</v>
      </c>
      <c r="G403" t="s">
        <v>30</v>
      </c>
      <c r="H403">
        <v>6</v>
      </c>
      <c r="I403">
        <v>1</v>
      </c>
      <c r="L403" t="s">
        <v>24</v>
      </c>
      <c r="M403">
        <v>9</v>
      </c>
      <c r="Q403">
        <v>7519</v>
      </c>
      <c r="S403">
        <v>1.25</v>
      </c>
      <c r="U403">
        <v>20</v>
      </c>
      <c r="AD403" t="s">
        <v>33</v>
      </c>
      <c r="AE403">
        <v>5.5</v>
      </c>
      <c r="AF403">
        <v>0.14840182599999999</v>
      </c>
      <c r="AG403">
        <v>6</v>
      </c>
      <c r="AK403" t="s">
        <v>709</v>
      </c>
      <c r="AL403" t="s">
        <v>597</v>
      </c>
      <c r="AM403">
        <v>310.36672750000002</v>
      </c>
      <c r="AW403">
        <v>7800</v>
      </c>
      <c r="AY403">
        <v>156000</v>
      </c>
      <c r="AZ403">
        <v>26000000</v>
      </c>
      <c r="BD403">
        <v>48.2</v>
      </c>
    </row>
    <row r="404" spans="1:57">
      <c r="A404" t="s">
        <v>660</v>
      </c>
      <c r="B404" t="s">
        <v>175</v>
      </c>
      <c r="C404">
        <v>2013</v>
      </c>
      <c r="E404">
        <v>2013</v>
      </c>
      <c r="F404" t="s">
        <v>27</v>
      </c>
      <c r="G404" t="s">
        <v>30</v>
      </c>
      <c r="H404">
        <v>6</v>
      </c>
      <c r="I404">
        <v>1</v>
      </c>
      <c r="L404" t="s">
        <v>24</v>
      </c>
      <c r="M404">
        <v>9</v>
      </c>
      <c r="Q404">
        <v>7519</v>
      </c>
      <c r="S404">
        <v>1.25</v>
      </c>
      <c r="U404">
        <v>20</v>
      </c>
      <c r="AD404" t="s">
        <v>33</v>
      </c>
      <c r="AE404">
        <v>5.5</v>
      </c>
      <c r="AF404">
        <v>0.190258752</v>
      </c>
      <c r="AG404">
        <v>6</v>
      </c>
      <c r="AK404" t="s">
        <v>709</v>
      </c>
      <c r="AL404" t="s">
        <v>597</v>
      </c>
      <c r="AM404">
        <v>310.36672750000002</v>
      </c>
      <c r="AW404">
        <v>10000</v>
      </c>
      <c r="AY404">
        <v>200000</v>
      </c>
      <c r="AZ404">
        <v>33333333.333333299</v>
      </c>
      <c r="BD404">
        <v>37.6</v>
      </c>
    </row>
    <row r="405" spans="1:57">
      <c r="A405" t="s">
        <v>660</v>
      </c>
      <c r="B405" t="s">
        <v>175</v>
      </c>
      <c r="C405">
        <v>2013</v>
      </c>
      <c r="E405">
        <v>2013</v>
      </c>
      <c r="F405" t="s">
        <v>27</v>
      </c>
      <c r="G405" t="s">
        <v>30</v>
      </c>
      <c r="H405">
        <v>6</v>
      </c>
      <c r="I405">
        <v>1</v>
      </c>
      <c r="L405" t="s">
        <v>24</v>
      </c>
      <c r="M405">
        <v>9</v>
      </c>
      <c r="Q405">
        <v>7519</v>
      </c>
      <c r="S405">
        <v>1.25</v>
      </c>
      <c r="U405">
        <v>20</v>
      </c>
      <c r="AD405" t="s">
        <v>33</v>
      </c>
      <c r="AE405">
        <v>5.5</v>
      </c>
      <c r="AF405">
        <v>0.34246575299999998</v>
      </c>
      <c r="AG405">
        <v>6</v>
      </c>
      <c r="AK405" t="s">
        <v>709</v>
      </c>
      <c r="AL405" t="s">
        <v>597</v>
      </c>
      <c r="AM405">
        <v>310.36672750000002</v>
      </c>
      <c r="AW405">
        <v>18000</v>
      </c>
      <c r="AY405">
        <v>360000</v>
      </c>
      <c r="AZ405">
        <v>60000000</v>
      </c>
      <c r="BD405">
        <v>20.89</v>
      </c>
    </row>
    <row r="406" spans="1:57">
      <c r="A406" t="s">
        <v>659</v>
      </c>
      <c r="B406" t="s">
        <v>265</v>
      </c>
      <c r="C406">
        <v>2013</v>
      </c>
      <c r="E406">
        <v>2013</v>
      </c>
      <c r="F406" t="s">
        <v>27</v>
      </c>
      <c r="G406" t="s">
        <v>266</v>
      </c>
      <c r="H406">
        <v>1500</v>
      </c>
      <c r="I406">
        <v>14</v>
      </c>
      <c r="L406" t="s">
        <v>24</v>
      </c>
      <c r="Q406">
        <v>8946000</v>
      </c>
      <c r="S406">
        <v>0.43</v>
      </c>
      <c r="U406">
        <v>20</v>
      </c>
      <c r="AD406" t="s">
        <v>267</v>
      </c>
      <c r="AF406">
        <v>0.34246575299999998</v>
      </c>
      <c r="AG406">
        <v>21000</v>
      </c>
      <c r="AK406" t="s">
        <v>709</v>
      </c>
      <c r="AL406" t="s">
        <v>597</v>
      </c>
      <c r="AM406">
        <v>310.36672750000002</v>
      </c>
      <c r="AO406" t="s">
        <v>35</v>
      </c>
      <c r="AW406">
        <v>63000000</v>
      </c>
      <c r="AY406">
        <v>1260000000</v>
      </c>
      <c r="AZ406">
        <v>60000000</v>
      </c>
      <c r="BD406">
        <v>7.1</v>
      </c>
    </row>
    <row r="407" spans="1:57">
      <c r="A407" t="s">
        <v>719</v>
      </c>
      <c r="B407" t="s">
        <v>299</v>
      </c>
      <c r="C407">
        <v>2013</v>
      </c>
      <c r="E407">
        <v>2013</v>
      </c>
      <c r="F407" t="s">
        <v>27</v>
      </c>
      <c r="H407">
        <v>2000</v>
      </c>
      <c r="I407">
        <v>1</v>
      </c>
      <c r="L407" t="s">
        <v>24</v>
      </c>
      <c r="N407">
        <v>4.76</v>
      </c>
      <c r="Q407">
        <v>712927</v>
      </c>
      <c r="S407">
        <v>0.98</v>
      </c>
      <c r="U407">
        <v>20</v>
      </c>
      <c r="Z407">
        <v>0.08</v>
      </c>
      <c r="AD407" t="s">
        <v>33</v>
      </c>
      <c r="AF407">
        <v>0.35</v>
      </c>
      <c r="AG407">
        <v>2000</v>
      </c>
      <c r="AH407">
        <v>9529202</v>
      </c>
      <c r="AK407" t="s">
        <v>709</v>
      </c>
      <c r="AL407" t="s">
        <v>597</v>
      </c>
      <c r="AM407">
        <v>310.36672750000002</v>
      </c>
      <c r="AO407" t="s">
        <v>35</v>
      </c>
      <c r="AW407">
        <v>6132000</v>
      </c>
      <c r="AY407">
        <v>122640000</v>
      </c>
      <c r="AZ407">
        <v>61320000</v>
      </c>
      <c r="BD407">
        <v>5.81</v>
      </c>
    </row>
    <row r="408" spans="1:57">
      <c r="A408" t="s">
        <v>661</v>
      </c>
      <c r="B408" t="s">
        <v>465</v>
      </c>
      <c r="C408">
        <v>2013</v>
      </c>
      <c r="E408">
        <v>2013</v>
      </c>
      <c r="H408">
        <v>330</v>
      </c>
      <c r="I408">
        <v>1</v>
      </c>
      <c r="J408" t="s">
        <v>545</v>
      </c>
      <c r="L408" t="s">
        <v>24</v>
      </c>
      <c r="Q408">
        <v>442674</v>
      </c>
      <c r="S408">
        <v>1.34</v>
      </c>
      <c r="U408">
        <v>20</v>
      </c>
      <c r="AE408">
        <v>33</v>
      </c>
      <c r="AF408">
        <v>0.21</v>
      </c>
      <c r="AG408">
        <v>330</v>
      </c>
      <c r="AK408" t="s">
        <v>643</v>
      </c>
      <c r="AL408" t="s">
        <v>597</v>
      </c>
      <c r="AM408">
        <v>310.36672750000002</v>
      </c>
      <c r="AW408">
        <v>607068</v>
      </c>
      <c r="AY408">
        <v>12141360</v>
      </c>
      <c r="AZ408">
        <v>36792000</v>
      </c>
      <c r="BD408">
        <v>36.46</v>
      </c>
    </row>
    <row r="409" spans="1:57">
      <c r="A409" t="s">
        <v>661</v>
      </c>
      <c r="B409" t="s">
        <v>465</v>
      </c>
      <c r="C409">
        <v>2013</v>
      </c>
      <c r="E409">
        <v>2013</v>
      </c>
      <c r="H409">
        <v>500</v>
      </c>
      <c r="I409">
        <v>1</v>
      </c>
      <c r="J409" t="s">
        <v>545</v>
      </c>
      <c r="L409" t="s">
        <v>24</v>
      </c>
      <c r="Q409">
        <v>588856</v>
      </c>
      <c r="S409">
        <v>1.18</v>
      </c>
      <c r="U409">
        <v>20</v>
      </c>
      <c r="AE409">
        <v>48</v>
      </c>
      <c r="AF409">
        <v>0.21</v>
      </c>
      <c r="AG409">
        <v>500</v>
      </c>
      <c r="AK409" t="s">
        <v>643</v>
      </c>
      <c r="AL409" t="s">
        <v>597</v>
      </c>
      <c r="AM409">
        <v>310.36672750000002</v>
      </c>
      <c r="AW409">
        <v>919800</v>
      </c>
      <c r="AY409">
        <v>18396000</v>
      </c>
      <c r="AZ409">
        <v>36792000</v>
      </c>
      <c r="BD409">
        <v>32.01</v>
      </c>
    </row>
    <row r="410" spans="1:57">
      <c r="A410" t="s">
        <v>661</v>
      </c>
      <c r="B410" t="s">
        <v>465</v>
      </c>
      <c r="C410">
        <v>2013</v>
      </c>
      <c r="E410">
        <v>2013</v>
      </c>
      <c r="H410">
        <v>810</v>
      </c>
      <c r="I410">
        <v>1</v>
      </c>
      <c r="J410" t="s">
        <v>545</v>
      </c>
      <c r="L410" t="s">
        <v>24</v>
      </c>
      <c r="N410">
        <v>42.31</v>
      </c>
      <c r="Q410">
        <v>645501</v>
      </c>
      <c r="S410">
        <v>0.8</v>
      </c>
      <c r="U410">
        <v>20</v>
      </c>
      <c r="X410">
        <v>3.13</v>
      </c>
      <c r="Z410">
        <v>1.1499999999999999</v>
      </c>
      <c r="AE410">
        <v>53</v>
      </c>
      <c r="AF410">
        <v>0.21</v>
      </c>
      <c r="AG410">
        <v>810</v>
      </c>
      <c r="AH410">
        <v>34271748</v>
      </c>
      <c r="AK410" t="s">
        <v>643</v>
      </c>
      <c r="AL410" t="s">
        <v>597</v>
      </c>
      <c r="AM410">
        <v>310.36672750000002</v>
      </c>
      <c r="AQ410">
        <v>9519930</v>
      </c>
      <c r="AW410">
        <v>1490076</v>
      </c>
      <c r="AY410">
        <v>29801520</v>
      </c>
      <c r="AZ410">
        <v>36792000</v>
      </c>
      <c r="BB410">
        <v>0.32</v>
      </c>
      <c r="BD410">
        <v>21.66</v>
      </c>
    </row>
    <row r="411" spans="1:57">
      <c r="A411" t="s">
        <v>661</v>
      </c>
      <c r="B411" t="s">
        <v>465</v>
      </c>
      <c r="C411">
        <v>2013</v>
      </c>
      <c r="E411">
        <v>2013</v>
      </c>
      <c r="H411">
        <v>2050</v>
      </c>
      <c r="I411">
        <v>1</v>
      </c>
      <c r="J411" t="s">
        <v>545</v>
      </c>
      <c r="L411" t="s">
        <v>24</v>
      </c>
      <c r="Q411">
        <v>1194566</v>
      </c>
      <c r="S411">
        <v>0.57999999999999996</v>
      </c>
      <c r="U411">
        <v>20</v>
      </c>
      <c r="AE411">
        <v>82</v>
      </c>
      <c r="AF411">
        <v>0.2</v>
      </c>
      <c r="AG411">
        <v>2050</v>
      </c>
      <c r="AK411" t="s">
        <v>643</v>
      </c>
      <c r="AL411" t="s">
        <v>597</v>
      </c>
      <c r="AM411">
        <v>310.36672750000002</v>
      </c>
      <c r="AW411">
        <v>3591600</v>
      </c>
      <c r="AY411">
        <v>71832000</v>
      </c>
      <c r="AZ411">
        <v>35040000</v>
      </c>
      <c r="BD411">
        <v>16.63</v>
      </c>
    </row>
    <row r="412" spans="1:57">
      <c r="A412" t="s">
        <v>661</v>
      </c>
      <c r="B412" t="s">
        <v>465</v>
      </c>
      <c r="C412">
        <v>2013</v>
      </c>
      <c r="E412">
        <v>2013</v>
      </c>
      <c r="H412">
        <v>3020</v>
      </c>
      <c r="I412">
        <v>1</v>
      </c>
      <c r="J412" t="s">
        <v>545</v>
      </c>
      <c r="L412" t="s">
        <v>24</v>
      </c>
      <c r="Q412">
        <v>1634984</v>
      </c>
      <c r="S412">
        <v>0.54</v>
      </c>
      <c r="U412">
        <v>20</v>
      </c>
      <c r="AE412">
        <v>82</v>
      </c>
      <c r="AF412">
        <v>0.13</v>
      </c>
      <c r="AG412">
        <v>3020</v>
      </c>
      <c r="AK412" t="s">
        <v>643</v>
      </c>
      <c r="AL412" t="s">
        <v>597</v>
      </c>
      <c r="AM412">
        <v>310.36672750000002</v>
      </c>
      <c r="AW412">
        <v>3439176</v>
      </c>
      <c r="AY412">
        <v>68783520</v>
      </c>
      <c r="AZ412">
        <v>22776000</v>
      </c>
      <c r="BD412">
        <v>23.77</v>
      </c>
    </row>
    <row r="413" spans="1:57">
      <c r="A413" t="s">
        <v>660</v>
      </c>
      <c r="B413" t="s">
        <v>175</v>
      </c>
      <c r="C413">
        <v>2013</v>
      </c>
      <c r="E413">
        <v>2013</v>
      </c>
      <c r="H413">
        <v>6</v>
      </c>
      <c r="I413">
        <v>1</v>
      </c>
      <c r="J413" t="s">
        <v>545</v>
      </c>
      <c r="L413" t="s">
        <v>24</v>
      </c>
      <c r="Q413">
        <v>7600</v>
      </c>
      <c r="S413">
        <v>1.27</v>
      </c>
      <c r="U413">
        <v>20</v>
      </c>
      <c r="AF413">
        <v>0.15</v>
      </c>
      <c r="AG413">
        <v>6</v>
      </c>
      <c r="AK413" t="s">
        <v>643</v>
      </c>
      <c r="AL413" t="s">
        <v>597</v>
      </c>
      <c r="AM413">
        <v>310.36672750000002</v>
      </c>
      <c r="AW413">
        <v>7884</v>
      </c>
      <c r="AY413">
        <v>157680</v>
      </c>
      <c r="AZ413">
        <v>26280000</v>
      </c>
      <c r="BD413">
        <v>48.2</v>
      </c>
    </row>
    <row r="414" spans="1:57">
      <c r="A414" t="s">
        <v>659</v>
      </c>
      <c r="B414" t="s">
        <v>265</v>
      </c>
      <c r="C414">
        <v>2013</v>
      </c>
      <c r="E414">
        <v>2013</v>
      </c>
      <c r="H414">
        <v>1500</v>
      </c>
      <c r="I414">
        <v>1</v>
      </c>
      <c r="J414" t="s">
        <v>545</v>
      </c>
      <c r="L414" t="s">
        <v>24</v>
      </c>
      <c r="U414">
        <v>20</v>
      </c>
      <c r="AF414">
        <v>0.34</v>
      </c>
      <c r="AG414">
        <v>1500</v>
      </c>
      <c r="AK414" t="s">
        <v>643</v>
      </c>
      <c r="AL414" t="s">
        <v>597</v>
      </c>
      <c r="AM414">
        <v>310.36672750000002</v>
      </c>
      <c r="AW414">
        <v>4467600</v>
      </c>
      <c r="AY414">
        <v>89352000</v>
      </c>
      <c r="AZ414">
        <v>59568000</v>
      </c>
    </row>
    <row r="415" spans="1:57">
      <c r="A415" t="s">
        <v>658</v>
      </c>
      <c r="B415" t="s">
        <v>540</v>
      </c>
      <c r="C415">
        <v>2013</v>
      </c>
      <c r="E415">
        <v>2013</v>
      </c>
      <c r="H415">
        <v>5000</v>
      </c>
      <c r="I415">
        <v>1</v>
      </c>
      <c r="J415" t="s">
        <v>545</v>
      </c>
      <c r="L415" t="s">
        <v>24</v>
      </c>
      <c r="N415">
        <v>4.7699999999999996</v>
      </c>
      <c r="U415">
        <v>20</v>
      </c>
      <c r="X415">
        <v>45</v>
      </c>
      <c r="Z415">
        <v>0.08</v>
      </c>
      <c r="AE415">
        <v>126</v>
      </c>
      <c r="AF415">
        <v>0.34</v>
      </c>
      <c r="AG415">
        <v>5000</v>
      </c>
      <c r="AH415">
        <v>23827200</v>
      </c>
      <c r="AK415" t="s">
        <v>643</v>
      </c>
      <c r="AL415" t="s">
        <v>597</v>
      </c>
      <c r="AM415">
        <v>310.36672750000002</v>
      </c>
      <c r="AQ415">
        <v>6618666.7000000002</v>
      </c>
      <c r="AW415">
        <v>14892000</v>
      </c>
      <c r="AY415">
        <v>297840000</v>
      </c>
      <c r="AZ415">
        <v>59568000</v>
      </c>
      <c r="BB415">
        <v>0.02</v>
      </c>
    </row>
    <row r="416" spans="1:57">
      <c r="A416" t="s">
        <v>658</v>
      </c>
      <c r="B416" t="s">
        <v>540</v>
      </c>
      <c r="C416">
        <v>2013</v>
      </c>
      <c r="E416">
        <v>2013</v>
      </c>
      <c r="H416">
        <v>5000</v>
      </c>
      <c r="I416">
        <v>1</v>
      </c>
      <c r="J416" t="s">
        <v>545</v>
      </c>
      <c r="L416" t="s">
        <v>31</v>
      </c>
      <c r="N416">
        <v>8.94</v>
      </c>
      <c r="U416">
        <v>20</v>
      </c>
      <c r="X416">
        <v>36</v>
      </c>
      <c r="Z416">
        <v>0.1</v>
      </c>
      <c r="AE416">
        <v>126</v>
      </c>
      <c r="AF416">
        <v>0.51</v>
      </c>
      <c r="AG416">
        <v>5000</v>
      </c>
      <c r="AH416">
        <v>44676000</v>
      </c>
      <c r="AK416" t="s">
        <v>643</v>
      </c>
      <c r="AL416" t="s">
        <v>597</v>
      </c>
      <c r="AM416">
        <v>310.36672750000002</v>
      </c>
      <c r="AQ416">
        <v>12410000</v>
      </c>
      <c r="AW416">
        <v>22338000</v>
      </c>
      <c r="AY416">
        <v>446760000</v>
      </c>
      <c r="AZ416">
        <v>89352000</v>
      </c>
      <c r="BB416">
        <v>0.03</v>
      </c>
    </row>
    <row r="417" spans="1:57">
      <c r="A417" t="s">
        <v>658</v>
      </c>
      <c r="B417" t="s">
        <v>540</v>
      </c>
      <c r="C417">
        <v>2013</v>
      </c>
      <c r="E417">
        <v>2013</v>
      </c>
      <c r="H417">
        <v>1600</v>
      </c>
      <c r="I417">
        <v>1</v>
      </c>
      <c r="J417" t="s">
        <v>548</v>
      </c>
      <c r="L417" t="s">
        <v>24</v>
      </c>
      <c r="U417">
        <v>20</v>
      </c>
      <c r="AE417">
        <v>45.7</v>
      </c>
      <c r="AF417">
        <v>0.25</v>
      </c>
      <c r="AG417">
        <v>1600</v>
      </c>
      <c r="AK417" t="s">
        <v>643</v>
      </c>
      <c r="AL417" t="s">
        <v>597</v>
      </c>
      <c r="AM417">
        <v>310.36672750000002</v>
      </c>
      <c r="AW417">
        <v>3504000</v>
      </c>
      <c r="AY417">
        <v>70080000</v>
      </c>
      <c r="AZ417">
        <v>43800000</v>
      </c>
    </row>
    <row r="418" spans="1:57">
      <c r="A418" t="s">
        <v>657</v>
      </c>
      <c r="B418" t="s">
        <v>532</v>
      </c>
      <c r="C418">
        <v>2013</v>
      </c>
      <c r="E418">
        <v>2013</v>
      </c>
      <c r="H418">
        <v>3000</v>
      </c>
      <c r="I418">
        <v>1</v>
      </c>
      <c r="J418" t="s">
        <v>545</v>
      </c>
      <c r="L418" t="s">
        <v>24</v>
      </c>
      <c r="Q418">
        <v>1336075</v>
      </c>
      <c r="S418">
        <v>0.45</v>
      </c>
      <c r="U418">
        <v>20</v>
      </c>
      <c r="AE418">
        <v>90</v>
      </c>
      <c r="AF418">
        <v>0.41</v>
      </c>
      <c r="AG418">
        <v>3000</v>
      </c>
      <c r="AK418" t="s">
        <v>643</v>
      </c>
      <c r="AL418" t="s">
        <v>597</v>
      </c>
      <c r="AM418">
        <v>310.36672750000002</v>
      </c>
      <c r="AW418">
        <v>10774800</v>
      </c>
      <c r="AY418">
        <v>215496000</v>
      </c>
      <c r="AZ418">
        <v>71832000</v>
      </c>
      <c r="BD418">
        <v>6.2</v>
      </c>
    </row>
    <row r="419" spans="1:57">
      <c r="A419" t="s">
        <v>657</v>
      </c>
      <c r="B419" t="s">
        <v>532</v>
      </c>
      <c r="C419">
        <v>2013</v>
      </c>
      <c r="E419">
        <v>2013</v>
      </c>
      <c r="H419">
        <v>2600</v>
      </c>
      <c r="I419">
        <v>1</v>
      </c>
      <c r="J419" t="s">
        <v>545</v>
      </c>
      <c r="L419" t="s">
        <v>24</v>
      </c>
      <c r="Q419">
        <v>1367471</v>
      </c>
      <c r="S419">
        <v>0.53</v>
      </c>
      <c r="U419">
        <v>20</v>
      </c>
      <c r="AE419">
        <v>100</v>
      </c>
      <c r="AF419">
        <v>0.38</v>
      </c>
      <c r="AG419">
        <v>2600</v>
      </c>
      <c r="AK419" t="s">
        <v>643</v>
      </c>
      <c r="AL419" t="s">
        <v>597</v>
      </c>
      <c r="AM419">
        <v>310.36672750000002</v>
      </c>
      <c r="AW419">
        <v>8654880</v>
      </c>
      <c r="AY419">
        <v>173097600</v>
      </c>
      <c r="AZ419">
        <v>66576000</v>
      </c>
      <c r="BD419">
        <v>7.9</v>
      </c>
    </row>
    <row r="420" spans="1:57">
      <c r="A420" t="s">
        <v>656</v>
      </c>
      <c r="B420" t="s">
        <v>530</v>
      </c>
      <c r="C420">
        <v>2013</v>
      </c>
      <c r="E420">
        <v>2013</v>
      </c>
      <c r="H420">
        <v>2000</v>
      </c>
      <c r="I420">
        <v>1</v>
      </c>
      <c r="J420" t="s">
        <v>545</v>
      </c>
      <c r="L420" t="s">
        <v>24</v>
      </c>
      <c r="N420">
        <v>33.85</v>
      </c>
      <c r="Q420">
        <v>1242729</v>
      </c>
      <c r="S420">
        <v>0.62</v>
      </c>
      <c r="U420">
        <v>20</v>
      </c>
      <c r="X420">
        <v>8.57</v>
      </c>
      <c r="Z420">
        <v>0.42</v>
      </c>
      <c r="AE420">
        <v>90</v>
      </c>
      <c r="AF420">
        <v>0.46</v>
      </c>
      <c r="AG420">
        <v>2000</v>
      </c>
      <c r="AH420">
        <v>67697280</v>
      </c>
      <c r="AK420" t="s">
        <v>643</v>
      </c>
      <c r="AL420" t="s">
        <v>597</v>
      </c>
      <c r="AM420">
        <v>310.36672750000002</v>
      </c>
      <c r="AQ420">
        <v>18804800</v>
      </c>
      <c r="AW420">
        <v>8059200</v>
      </c>
      <c r="AY420">
        <v>161184000</v>
      </c>
      <c r="AZ420">
        <v>80592000</v>
      </c>
      <c r="BB420">
        <v>0.12</v>
      </c>
      <c r="BD420">
        <v>7.71</v>
      </c>
    </row>
    <row r="421" spans="1:57">
      <c r="A421" s="238" t="s">
        <v>664</v>
      </c>
      <c r="B421" s="238" t="s">
        <v>149</v>
      </c>
      <c r="C421" s="238">
        <v>2014</v>
      </c>
      <c r="D421" s="238"/>
      <c r="E421" s="238">
        <v>2014</v>
      </c>
      <c r="F421" s="238" t="s">
        <v>27</v>
      </c>
      <c r="G421" s="238" t="s">
        <v>516</v>
      </c>
      <c r="H421" s="238">
        <v>0.3</v>
      </c>
      <c r="I421" s="238">
        <v>1</v>
      </c>
      <c r="J421" s="238" t="s">
        <v>517</v>
      </c>
      <c r="K421" s="238"/>
      <c r="L421" s="238" t="s">
        <v>24</v>
      </c>
      <c r="M421" s="238">
        <v>36</v>
      </c>
      <c r="N421" s="238">
        <v>1.77</v>
      </c>
      <c r="O421" s="238"/>
      <c r="P421" s="238">
        <v>0.49</v>
      </c>
      <c r="Q421" s="238"/>
      <c r="R421" s="238"/>
      <c r="S421" s="238"/>
      <c r="T421" s="238"/>
      <c r="U421" s="238">
        <v>20</v>
      </c>
      <c r="V421" s="238"/>
      <c r="W421" s="238"/>
      <c r="X421" s="238"/>
      <c r="Y421" s="238"/>
      <c r="Z421" s="238"/>
      <c r="AA421" s="238"/>
      <c r="AB421" s="238"/>
      <c r="AC421" s="238">
        <v>1.31</v>
      </c>
      <c r="AD421" s="238" t="s">
        <v>33</v>
      </c>
      <c r="AE421" s="238">
        <v>0.25</v>
      </c>
      <c r="AF421" s="238">
        <v>4.2998478E-2</v>
      </c>
      <c r="AG421" s="238">
        <v>0.3</v>
      </c>
      <c r="AH421" s="238">
        <v>532</v>
      </c>
      <c r="AI421" s="238"/>
      <c r="AJ421" s="238"/>
      <c r="AK421" s="238" t="s">
        <v>769</v>
      </c>
      <c r="AL421" s="238" t="s">
        <v>597</v>
      </c>
      <c r="AM421" s="238">
        <v>360.68525</v>
      </c>
      <c r="AN421" s="238"/>
      <c r="AO421" s="238" t="s">
        <v>356</v>
      </c>
      <c r="AP421" s="238"/>
      <c r="AQ421" s="238">
        <v>148</v>
      </c>
      <c r="AR421" s="238"/>
      <c r="AS421" s="238"/>
      <c r="AT421" s="238"/>
      <c r="AU421" s="238"/>
      <c r="AV421" s="238"/>
      <c r="AW421" s="238">
        <v>113</v>
      </c>
      <c r="AX421" s="238"/>
      <c r="AY421" s="238">
        <v>2260</v>
      </c>
      <c r="AZ421" s="238">
        <v>7533333.3333333302</v>
      </c>
      <c r="BA421" s="238"/>
      <c r="BB421" s="238">
        <v>6.5000000000000002E-2</v>
      </c>
      <c r="BC421" s="238"/>
      <c r="BD421" s="238"/>
      <c r="BE421" s="238"/>
    </row>
    <row r="422" spans="1:57">
      <c r="A422" s="237" t="s">
        <v>664</v>
      </c>
      <c r="B422" s="237" t="s">
        <v>149</v>
      </c>
      <c r="C422" s="237">
        <v>2014</v>
      </c>
      <c r="D422" s="237"/>
      <c r="E422" s="237">
        <v>2014</v>
      </c>
      <c r="F422" s="237" t="s">
        <v>27</v>
      </c>
      <c r="G422" s="237" t="s">
        <v>516</v>
      </c>
      <c r="H422" s="237">
        <v>0.3</v>
      </c>
      <c r="I422" s="237">
        <v>1</v>
      </c>
      <c r="J422" s="237" t="s">
        <v>517</v>
      </c>
      <c r="K422" s="237"/>
      <c r="L422" s="237" t="s">
        <v>24</v>
      </c>
      <c r="M422" s="237">
        <v>30</v>
      </c>
      <c r="N422" s="237">
        <v>1.77</v>
      </c>
      <c r="O422" s="237"/>
      <c r="P422" s="237">
        <v>0.49</v>
      </c>
      <c r="Q422" s="237"/>
      <c r="R422" s="237"/>
      <c r="S422" s="237"/>
      <c r="T422" s="237"/>
      <c r="U422" s="237">
        <v>20</v>
      </c>
      <c r="V422" s="237"/>
      <c r="W422" s="237"/>
      <c r="X422" s="237"/>
      <c r="Y422" s="237"/>
      <c r="Z422" s="237"/>
      <c r="AA422" s="237"/>
      <c r="AB422" s="237"/>
      <c r="AC422" s="237">
        <v>1.06</v>
      </c>
      <c r="AD422" s="237" t="s">
        <v>33</v>
      </c>
      <c r="AE422" s="237">
        <v>0.25</v>
      </c>
      <c r="AF422" s="237">
        <v>5.3272450999999998E-2</v>
      </c>
      <c r="AG422" s="237">
        <v>0.3</v>
      </c>
      <c r="AH422" s="237">
        <v>532</v>
      </c>
      <c r="AI422" s="237"/>
      <c r="AJ422" s="237"/>
      <c r="AK422" s="237" t="s">
        <v>769</v>
      </c>
      <c r="AL422" s="237" t="s">
        <v>597</v>
      </c>
      <c r="AM422" s="237">
        <v>360.68525</v>
      </c>
      <c r="AN422" s="237"/>
      <c r="AO422" s="237" t="s">
        <v>356</v>
      </c>
      <c r="AP422" s="237"/>
      <c r="AQ422" s="237">
        <v>148</v>
      </c>
      <c r="AR422" s="237"/>
      <c r="AS422" s="237"/>
      <c r="AT422" s="237"/>
      <c r="AU422" s="237"/>
      <c r="AV422" s="237"/>
      <c r="AW422" s="237">
        <v>140</v>
      </c>
      <c r="AX422" s="237"/>
      <c r="AY422" s="237">
        <v>2800</v>
      </c>
      <c r="AZ422" s="237">
        <v>9333333.3333333302</v>
      </c>
      <c r="BA422" s="237"/>
      <c r="BB422" s="237">
        <v>5.2999999999999999E-2</v>
      </c>
      <c r="BC422" s="237"/>
      <c r="BD422" s="237"/>
      <c r="BE422" s="237"/>
    </row>
    <row r="423" spans="1:57">
      <c r="A423" s="238" t="s">
        <v>664</v>
      </c>
      <c r="B423" s="238" t="s">
        <v>149</v>
      </c>
      <c r="C423" s="238">
        <v>2014</v>
      </c>
      <c r="D423" s="238"/>
      <c r="E423" s="238">
        <v>2014</v>
      </c>
      <c r="F423" s="238" t="s">
        <v>27</v>
      </c>
      <c r="G423" s="238" t="s">
        <v>516</v>
      </c>
      <c r="H423" s="238">
        <v>0.3</v>
      </c>
      <c r="I423" s="238">
        <v>1</v>
      </c>
      <c r="J423" s="238" t="s">
        <v>517</v>
      </c>
      <c r="K423" s="238"/>
      <c r="L423" s="238" t="s">
        <v>24</v>
      </c>
      <c r="M423" s="238">
        <v>30</v>
      </c>
      <c r="N423" s="238">
        <v>1.77</v>
      </c>
      <c r="O423" s="238"/>
      <c r="P423" s="238">
        <v>0.49</v>
      </c>
      <c r="Q423" s="238"/>
      <c r="R423" s="238"/>
      <c r="S423" s="238"/>
      <c r="T423" s="238"/>
      <c r="U423" s="238">
        <v>20</v>
      </c>
      <c r="V423" s="238"/>
      <c r="W423" s="238"/>
      <c r="X423" s="238"/>
      <c r="Y423" s="238"/>
      <c r="Z423" s="238"/>
      <c r="AA423" s="238"/>
      <c r="AB423" s="238"/>
      <c r="AC423" s="238">
        <v>0.27</v>
      </c>
      <c r="AD423" s="238" t="s">
        <v>33</v>
      </c>
      <c r="AE423" s="238">
        <v>0.25</v>
      </c>
      <c r="AF423" s="238">
        <v>0.20509893500000001</v>
      </c>
      <c r="AG423" s="238">
        <v>0.3</v>
      </c>
      <c r="AH423" s="238">
        <v>532</v>
      </c>
      <c r="AI423" s="238"/>
      <c r="AJ423" s="238"/>
      <c r="AK423" s="238" t="s">
        <v>769</v>
      </c>
      <c r="AL423" s="238" t="s">
        <v>597</v>
      </c>
      <c r="AM423" s="238">
        <v>360.68525</v>
      </c>
      <c r="AN423" s="238"/>
      <c r="AO423" s="238" t="s">
        <v>356</v>
      </c>
      <c r="AP423" s="238"/>
      <c r="AQ423" s="238">
        <v>148</v>
      </c>
      <c r="AR423" s="238"/>
      <c r="AS423" s="238"/>
      <c r="AT423" s="238"/>
      <c r="AU423" s="238"/>
      <c r="AV423" s="238"/>
      <c r="AW423" s="238">
        <v>539</v>
      </c>
      <c r="AX423" s="238"/>
      <c r="AY423" s="238">
        <v>10780</v>
      </c>
      <c r="AZ423" s="238">
        <v>35933333.333333299</v>
      </c>
      <c r="BA423" s="238"/>
      <c r="BB423" s="238">
        <v>1.4E-2</v>
      </c>
      <c r="BC423" s="238"/>
      <c r="BD423" s="238"/>
      <c r="BE423" s="238"/>
    </row>
    <row r="424" spans="1:57">
      <c r="A424" s="237" t="s">
        <v>664</v>
      </c>
      <c r="B424" s="237" t="s">
        <v>149</v>
      </c>
      <c r="C424" s="237">
        <v>2014</v>
      </c>
      <c r="D424" s="237"/>
      <c r="E424" s="237">
        <v>2014</v>
      </c>
      <c r="F424" s="237" t="s">
        <v>27</v>
      </c>
      <c r="G424" s="237" t="s">
        <v>516</v>
      </c>
      <c r="H424" s="237">
        <v>0.5</v>
      </c>
      <c r="I424" s="237">
        <v>1</v>
      </c>
      <c r="J424" s="237" t="s">
        <v>518</v>
      </c>
      <c r="K424" s="237"/>
      <c r="L424" s="237" t="s">
        <v>24</v>
      </c>
      <c r="M424" s="237">
        <v>36</v>
      </c>
      <c r="N424" s="237">
        <v>1.18</v>
      </c>
      <c r="O424" s="237"/>
      <c r="P424" s="237">
        <v>0.33</v>
      </c>
      <c r="Q424" s="237"/>
      <c r="R424" s="237"/>
      <c r="S424" s="237"/>
      <c r="T424" s="237"/>
      <c r="U424" s="237">
        <v>20</v>
      </c>
      <c r="V424" s="237"/>
      <c r="W424" s="237"/>
      <c r="X424" s="237"/>
      <c r="Y424" s="237"/>
      <c r="Z424" s="237"/>
      <c r="AA424" s="237"/>
      <c r="AB424" s="237"/>
      <c r="AC424" s="237">
        <v>0.64</v>
      </c>
      <c r="AD424" s="237" t="s">
        <v>33</v>
      </c>
      <c r="AE424" s="237">
        <v>1.7</v>
      </c>
      <c r="AF424" s="237">
        <v>5.8447488999999998E-2</v>
      </c>
      <c r="AG424" s="237">
        <v>0.5</v>
      </c>
      <c r="AH424" s="237">
        <v>590</v>
      </c>
      <c r="AI424" s="237"/>
      <c r="AJ424" s="237"/>
      <c r="AK424" s="237" t="s">
        <v>769</v>
      </c>
      <c r="AL424" s="237" t="s">
        <v>597</v>
      </c>
      <c r="AM424" s="237">
        <v>360.68525</v>
      </c>
      <c r="AN424" s="237"/>
      <c r="AO424" s="237" t="s">
        <v>356</v>
      </c>
      <c r="AP424" s="237"/>
      <c r="AQ424" s="237">
        <v>164</v>
      </c>
      <c r="AR424" s="237"/>
      <c r="AS424" s="237"/>
      <c r="AT424" s="237"/>
      <c r="AU424" s="237"/>
      <c r="AV424" s="237"/>
      <c r="AW424" s="237">
        <v>256</v>
      </c>
      <c r="AX424" s="237"/>
      <c r="AY424" s="237">
        <v>5120</v>
      </c>
      <c r="AZ424" s="237">
        <v>10240000</v>
      </c>
      <c r="BA424" s="237"/>
      <c r="BB424" s="237">
        <v>3.2000000000000001E-2</v>
      </c>
      <c r="BC424" s="237"/>
      <c r="BD424" s="237"/>
      <c r="BE424" s="237"/>
    </row>
    <row r="425" spans="1:57">
      <c r="A425" s="238" t="s">
        <v>664</v>
      </c>
      <c r="B425" s="238" t="s">
        <v>149</v>
      </c>
      <c r="C425" s="238">
        <v>2014</v>
      </c>
      <c r="D425" s="238"/>
      <c r="E425" s="238">
        <v>2014</v>
      </c>
      <c r="F425" s="238" t="s">
        <v>27</v>
      </c>
      <c r="G425" s="238" t="s">
        <v>516</v>
      </c>
      <c r="H425" s="238">
        <v>0.5</v>
      </c>
      <c r="I425" s="238">
        <v>1</v>
      </c>
      <c r="J425" s="238" t="s">
        <v>518</v>
      </c>
      <c r="K425" s="238"/>
      <c r="L425" s="238" t="s">
        <v>24</v>
      </c>
      <c r="M425" s="238">
        <v>30</v>
      </c>
      <c r="N425" s="238">
        <v>1.18</v>
      </c>
      <c r="O425" s="238"/>
      <c r="P425" s="238">
        <v>0.33</v>
      </c>
      <c r="Q425" s="238"/>
      <c r="R425" s="238"/>
      <c r="S425" s="238"/>
      <c r="T425" s="238"/>
      <c r="U425" s="238">
        <v>20</v>
      </c>
      <c r="V425" s="238"/>
      <c r="W425" s="238"/>
      <c r="X425" s="238"/>
      <c r="Y425" s="238"/>
      <c r="Z425" s="238"/>
      <c r="AA425" s="238"/>
      <c r="AB425" s="238"/>
      <c r="AC425" s="238">
        <v>0.52</v>
      </c>
      <c r="AD425" s="238" t="s">
        <v>33</v>
      </c>
      <c r="AE425" s="238">
        <v>1.7</v>
      </c>
      <c r="AF425" s="238">
        <v>7.1917808E-2</v>
      </c>
      <c r="AG425" s="238">
        <v>0.5</v>
      </c>
      <c r="AH425" s="238">
        <v>590</v>
      </c>
      <c r="AI425" s="238"/>
      <c r="AJ425" s="238"/>
      <c r="AK425" s="238" t="s">
        <v>769</v>
      </c>
      <c r="AL425" s="238" t="s">
        <v>597</v>
      </c>
      <c r="AM425" s="238">
        <v>360.68525</v>
      </c>
      <c r="AN425" s="238"/>
      <c r="AO425" s="238" t="s">
        <v>356</v>
      </c>
      <c r="AP425" s="238"/>
      <c r="AQ425" s="238">
        <v>164</v>
      </c>
      <c r="AR425" s="238"/>
      <c r="AS425" s="238"/>
      <c r="AT425" s="238"/>
      <c r="AU425" s="238"/>
      <c r="AV425" s="238"/>
      <c r="AW425" s="238">
        <v>315</v>
      </c>
      <c r="AX425" s="238"/>
      <c r="AY425" s="238">
        <v>6300</v>
      </c>
      <c r="AZ425" s="238">
        <v>12600000</v>
      </c>
      <c r="BA425" s="238"/>
      <c r="BB425" s="238">
        <v>2.5999999999999999E-2</v>
      </c>
      <c r="BC425" s="238"/>
      <c r="BD425" s="238"/>
      <c r="BE425" s="238"/>
    </row>
    <row r="426" spans="1:57">
      <c r="A426" s="237" t="s">
        <v>664</v>
      </c>
      <c r="B426" s="237" t="s">
        <v>149</v>
      </c>
      <c r="C426" s="237">
        <v>2014</v>
      </c>
      <c r="D426" s="237"/>
      <c r="E426" s="237">
        <v>2014</v>
      </c>
      <c r="F426" s="237" t="s">
        <v>27</v>
      </c>
      <c r="G426" s="237" t="s">
        <v>516</v>
      </c>
      <c r="H426" s="237">
        <v>0.5</v>
      </c>
      <c r="I426" s="237">
        <v>1</v>
      </c>
      <c r="J426" s="237" t="s">
        <v>518</v>
      </c>
      <c r="K426" s="237"/>
      <c r="L426" s="237" t="s">
        <v>24</v>
      </c>
      <c r="M426" s="237">
        <v>30</v>
      </c>
      <c r="N426" s="237">
        <v>1.18</v>
      </c>
      <c r="O426" s="237"/>
      <c r="P426" s="237">
        <v>0.33</v>
      </c>
      <c r="Q426" s="237"/>
      <c r="R426" s="237"/>
      <c r="S426" s="237"/>
      <c r="T426" s="237"/>
      <c r="U426" s="237">
        <v>20</v>
      </c>
      <c r="V426" s="237"/>
      <c r="W426" s="237"/>
      <c r="X426" s="237"/>
      <c r="Y426" s="237"/>
      <c r="Z426" s="237"/>
      <c r="AA426" s="237"/>
      <c r="AB426" s="237"/>
      <c r="AC426" s="237">
        <v>0.09</v>
      </c>
      <c r="AD426" s="237" t="s">
        <v>33</v>
      </c>
      <c r="AE426" s="237">
        <v>1.7</v>
      </c>
      <c r="AF426" s="237">
        <v>0.40684931499999999</v>
      </c>
      <c r="AG426" s="237">
        <v>0.5</v>
      </c>
      <c r="AH426" s="237">
        <v>590</v>
      </c>
      <c r="AI426" s="237"/>
      <c r="AJ426" s="237"/>
      <c r="AK426" s="237" t="s">
        <v>769</v>
      </c>
      <c r="AL426" s="237" t="s">
        <v>597</v>
      </c>
      <c r="AM426" s="237">
        <v>360.68525</v>
      </c>
      <c r="AN426" s="237"/>
      <c r="AO426" s="237" t="s">
        <v>356</v>
      </c>
      <c r="AP426" s="237"/>
      <c r="AQ426" s="237">
        <v>164</v>
      </c>
      <c r="AR426" s="237"/>
      <c r="AS426" s="237"/>
      <c r="AT426" s="237"/>
      <c r="AU426" s="237"/>
      <c r="AV426" s="237"/>
      <c r="AW426" s="237">
        <v>1782</v>
      </c>
      <c r="AX426" s="237"/>
      <c r="AY426" s="237">
        <v>35640</v>
      </c>
      <c r="AZ426" s="237">
        <v>71280000</v>
      </c>
      <c r="BA426" s="237"/>
      <c r="BB426" s="237">
        <v>5.0000000000000001E-3</v>
      </c>
      <c r="BC426" s="237"/>
      <c r="BD426" s="237"/>
      <c r="BE426" s="237"/>
    </row>
    <row r="427" spans="1:57">
      <c r="A427" s="238" t="s">
        <v>777</v>
      </c>
      <c r="B427" s="238" t="s">
        <v>399</v>
      </c>
      <c r="C427" s="238">
        <v>2014</v>
      </c>
      <c r="D427" s="238"/>
      <c r="E427" s="238">
        <v>2014</v>
      </c>
      <c r="F427" s="238" t="s">
        <v>27</v>
      </c>
      <c r="G427" s="238" t="s">
        <v>224</v>
      </c>
      <c r="H427" s="238">
        <v>3300</v>
      </c>
      <c r="I427" s="238">
        <v>30</v>
      </c>
      <c r="J427" s="238" t="s">
        <v>523</v>
      </c>
      <c r="K427" s="238"/>
      <c r="L427" s="238" t="s">
        <v>24</v>
      </c>
      <c r="M427" s="238">
        <v>72</v>
      </c>
      <c r="N427" s="238">
        <v>6.58</v>
      </c>
      <c r="O427" s="238"/>
      <c r="P427" s="238">
        <v>1.83</v>
      </c>
      <c r="Q427" s="238"/>
      <c r="R427" s="238"/>
      <c r="S427" s="238"/>
      <c r="T427" s="238"/>
      <c r="U427" s="238">
        <v>20</v>
      </c>
      <c r="V427" s="238"/>
      <c r="W427" s="238"/>
      <c r="X427" s="238"/>
      <c r="Y427" s="238"/>
      <c r="Z427" s="238"/>
      <c r="AA427" s="238"/>
      <c r="AB427" s="238"/>
      <c r="AC427" s="238">
        <v>0.44</v>
      </c>
      <c r="AD427" s="238" t="s">
        <v>464</v>
      </c>
      <c r="AE427" s="238">
        <v>105</v>
      </c>
      <c r="AF427" s="238">
        <v>0.46965084600000001</v>
      </c>
      <c r="AG427" s="238">
        <v>99000</v>
      </c>
      <c r="AH427" s="238">
        <v>651680000</v>
      </c>
      <c r="AI427" s="238"/>
      <c r="AJ427" s="238"/>
      <c r="AK427" s="238" t="s">
        <v>769</v>
      </c>
      <c r="AL427" s="238" t="s">
        <v>597</v>
      </c>
      <c r="AM427" s="238">
        <v>360.68525</v>
      </c>
      <c r="AN427" s="238"/>
      <c r="AO427" s="238" t="s">
        <v>356</v>
      </c>
      <c r="AP427" s="238"/>
      <c r="AQ427" s="238">
        <v>181022222</v>
      </c>
      <c r="AR427" s="238"/>
      <c r="AS427" s="238"/>
      <c r="AT427" s="238"/>
      <c r="AU427" s="238"/>
      <c r="AV427" s="238"/>
      <c r="AW427" s="238">
        <v>407300000</v>
      </c>
      <c r="AX427" s="238"/>
      <c r="AY427" s="238">
        <v>8146000000</v>
      </c>
      <c r="AZ427" s="238">
        <v>82282828.282828301</v>
      </c>
      <c r="BA427" s="238"/>
      <c r="BB427" s="238">
        <v>2.1999999999999999E-2</v>
      </c>
      <c r="BC427" s="238"/>
      <c r="BD427" s="238"/>
      <c r="BE427" s="238"/>
    </row>
    <row r="428" spans="1:57">
      <c r="A428" s="237" t="s">
        <v>776</v>
      </c>
      <c r="B428" s="237" t="s">
        <v>399</v>
      </c>
      <c r="C428" s="237">
        <v>2014</v>
      </c>
      <c r="D428" s="237"/>
      <c r="E428" s="237">
        <v>2014</v>
      </c>
      <c r="F428" s="237" t="s">
        <v>27</v>
      </c>
      <c r="G428" s="237" t="s">
        <v>224</v>
      </c>
      <c r="H428" s="237">
        <v>3300</v>
      </c>
      <c r="I428" s="237">
        <v>30</v>
      </c>
      <c r="J428" s="237" t="s">
        <v>524</v>
      </c>
      <c r="K428" s="237"/>
      <c r="L428" s="237" t="s">
        <v>24</v>
      </c>
      <c r="M428" s="237">
        <v>91</v>
      </c>
      <c r="N428" s="237">
        <v>6.69</v>
      </c>
      <c r="O428" s="237"/>
      <c r="P428" s="237">
        <v>1.86</v>
      </c>
      <c r="Q428" s="237"/>
      <c r="R428" s="237"/>
      <c r="S428" s="237"/>
      <c r="T428" s="237"/>
      <c r="U428" s="237">
        <v>20</v>
      </c>
      <c r="V428" s="237"/>
      <c r="W428" s="237"/>
      <c r="X428" s="237"/>
      <c r="Y428" s="237"/>
      <c r="Z428" s="237"/>
      <c r="AA428" s="237"/>
      <c r="AB428" s="237"/>
      <c r="AC428" s="237">
        <v>0.5</v>
      </c>
      <c r="AD428" s="237" t="s">
        <v>464</v>
      </c>
      <c r="AE428" s="237">
        <v>117</v>
      </c>
      <c r="AF428" s="237">
        <v>0.42398874600000003</v>
      </c>
      <c r="AG428" s="237">
        <v>99000</v>
      </c>
      <c r="AH428" s="237">
        <v>661860000</v>
      </c>
      <c r="AI428" s="237"/>
      <c r="AJ428" s="237"/>
      <c r="AK428" s="237" t="s">
        <v>769</v>
      </c>
      <c r="AL428" s="237" t="s">
        <v>597</v>
      </c>
      <c r="AM428" s="237">
        <v>360.68525</v>
      </c>
      <c r="AN428" s="237"/>
      <c r="AO428" s="237" t="s">
        <v>356</v>
      </c>
      <c r="AP428" s="237"/>
      <c r="AQ428" s="237">
        <v>183850000</v>
      </c>
      <c r="AR428" s="237"/>
      <c r="AS428" s="237"/>
      <c r="AT428" s="237"/>
      <c r="AU428" s="237"/>
      <c r="AV428" s="237"/>
      <c r="AW428" s="237">
        <v>367700000</v>
      </c>
      <c r="AX428" s="237"/>
      <c r="AY428" s="237">
        <v>7354000000</v>
      </c>
      <c r="AZ428" s="237">
        <v>74282828.282828301</v>
      </c>
      <c r="BA428" s="237"/>
      <c r="BB428" s="237">
        <v>2.5000000000000001E-2</v>
      </c>
      <c r="BC428" s="237"/>
      <c r="BD428" s="237"/>
      <c r="BE428" s="237"/>
    </row>
    <row r="429" spans="1:57">
      <c r="A429" s="238" t="s">
        <v>775</v>
      </c>
      <c r="B429" s="238" t="s">
        <v>399</v>
      </c>
      <c r="C429" s="238">
        <v>2014</v>
      </c>
      <c r="D429" s="238"/>
      <c r="E429" s="238">
        <v>2014</v>
      </c>
      <c r="F429" s="238" t="s">
        <v>27</v>
      </c>
      <c r="G429" s="238" t="s">
        <v>224</v>
      </c>
      <c r="H429" s="238">
        <v>3300</v>
      </c>
      <c r="I429" s="238">
        <v>30</v>
      </c>
      <c r="J429" s="238" t="s">
        <v>525</v>
      </c>
      <c r="K429" s="238"/>
      <c r="L429" s="238" t="s">
        <v>24</v>
      </c>
      <c r="M429" s="238">
        <v>117</v>
      </c>
      <c r="N429" s="238">
        <v>7.81</v>
      </c>
      <c r="O429" s="238"/>
      <c r="P429" s="238">
        <v>2.17</v>
      </c>
      <c r="Q429" s="238"/>
      <c r="R429" s="238"/>
      <c r="S429" s="238"/>
      <c r="T429" s="238"/>
      <c r="U429" s="238">
        <v>20</v>
      </c>
      <c r="V429" s="238"/>
      <c r="W429" s="238"/>
      <c r="X429" s="238"/>
      <c r="Y429" s="238"/>
      <c r="Z429" s="238"/>
      <c r="AA429" s="238"/>
      <c r="AB429" s="238"/>
      <c r="AC429" s="238">
        <v>0.67</v>
      </c>
      <c r="AD429" s="238" t="s">
        <v>464</v>
      </c>
      <c r="AE429" s="238">
        <v>126</v>
      </c>
      <c r="AF429" s="238">
        <v>0.37163876200000001</v>
      </c>
      <c r="AG429" s="238">
        <v>99000</v>
      </c>
      <c r="AH429" s="238">
        <v>773520000</v>
      </c>
      <c r="AI429" s="238"/>
      <c r="AJ429" s="238"/>
      <c r="AK429" s="238" t="s">
        <v>769</v>
      </c>
      <c r="AL429" s="238" t="s">
        <v>597</v>
      </c>
      <c r="AM429" s="238">
        <v>360.68525</v>
      </c>
      <c r="AN429" s="238"/>
      <c r="AO429" s="238" t="s">
        <v>356</v>
      </c>
      <c r="AP429" s="238"/>
      <c r="AQ429" s="238">
        <v>214866667</v>
      </c>
      <c r="AR429" s="238"/>
      <c r="AS429" s="238"/>
      <c r="AT429" s="238"/>
      <c r="AU429" s="238"/>
      <c r="AV429" s="238"/>
      <c r="AW429" s="238">
        <v>322300000</v>
      </c>
      <c r="AX429" s="238"/>
      <c r="AY429" s="238">
        <v>6446000000</v>
      </c>
      <c r="AZ429" s="238">
        <v>65111111.111111097</v>
      </c>
      <c r="BA429" s="238"/>
      <c r="BB429" s="238">
        <v>3.3000000000000002E-2</v>
      </c>
      <c r="BC429" s="238"/>
      <c r="BD429" s="238"/>
      <c r="BE429" s="238"/>
    </row>
    <row r="430" spans="1:57">
      <c r="A430" t="s">
        <v>664</v>
      </c>
      <c r="B430" t="s">
        <v>149</v>
      </c>
      <c r="C430">
        <v>2014</v>
      </c>
      <c r="E430">
        <v>2014</v>
      </c>
      <c r="F430" t="s">
        <v>27</v>
      </c>
      <c r="H430">
        <v>0.3</v>
      </c>
      <c r="I430">
        <v>1</v>
      </c>
      <c r="L430" t="s">
        <v>24</v>
      </c>
      <c r="N430">
        <v>1.77</v>
      </c>
      <c r="P430">
        <v>0.49</v>
      </c>
      <c r="Q430">
        <v>140</v>
      </c>
      <c r="S430">
        <v>0.47</v>
      </c>
      <c r="U430">
        <v>20</v>
      </c>
      <c r="Z430">
        <v>0.05</v>
      </c>
      <c r="AB430" t="s">
        <v>150</v>
      </c>
      <c r="AD430" t="s">
        <v>33</v>
      </c>
      <c r="AF430">
        <v>0.20509893500000001</v>
      </c>
      <c r="AG430">
        <v>0.3</v>
      </c>
      <c r="AH430">
        <v>532</v>
      </c>
      <c r="AK430" t="s">
        <v>709</v>
      </c>
      <c r="AL430" t="s">
        <v>597</v>
      </c>
      <c r="AM430">
        <v>360.68525</v>
      </c>
      <c r="AQ430">
        <v>148</v>
      </c>
      <c r="AS430">
        <v>44.3</v>
      </c>
      <c r="AW430">
        <v>539</v>
      </c>
      <c r="AY430">
        <v>10780</v>
      </c>
      <c r="AZ430">
        <v>35933333.333333299</v>
      </c>
      <c r="BB430">
        <v>0.01</v>
      </c>
      <c r="BD430">
        <v>13.02</v>
      </c>
    </row>
    <row r="431" spans="1:57">
      <c r="A431" t="s">
        <v>664</v>
      </c>
      <c r="B431" t="s">
        <v>149</v>
      </c>
      <c r="C431">
        <v>2014</v>
      </c>
      <c r="E431">
        <v>2014</v>
      </c>
      <c r="F431" t="s">
        <v>27</v>
      </c>
      <c r="H431">
        <v>0.5</v>
      </c>
      <c r="I431">
        <v>1</v>
      </c>
      <c r="L431" t="s">
        <v>24</v>
      </c>
      <c r="N431">
        <v>1.18</v>
      </c>
      <c r="P431">
        <v>0.33</v>
      </c>
      <c r="Q431">
        <v>162</v>
      </c>
      <c r="S431">
        <v>0.32</v>
      </c>
      <c r="U431">
        <v>20</v>
      </c>
      <c r="Z431">
        <v>0.02</v>
      </c>
      <c r="AB431" t="s">
        <v>151</v>
      </c>
      <c r="AD431" t="s">
        <v>33</v>
      </c>
      <c r="AE431">
        <v>1.7</v>
      </c>
      <c r="AF431">
        <v>0.40684931499999999</v>
      </c>
      <c r="AG431">
        <v>0.5</v>
      </c>
      <c r="AH431">
        <v>590</v>
      </c>
      <c r="AK431" t="s">
        <v>709</v>
      </c>
      <c r="AL431" t="s">
        <v>597</v>
      </c>
      <c r="AM431">
        <v>360.68525</v>
      </c>
      <c r="AQ431">
        <v>164</v>
      </c>
      <c r="AS431">
        <v>49.2</v>
      </c>
      <c r="AW431">
        <v>1782</v>
      </c>
      <c r="AY431">
        <v>35640</v>
      </c>
      <c r="AZ431">
        <v>71280000</v>
      </c>
      <c r="BD431">
        <v>4.54</v>
      </c>
    </row>
    <row r="432" spans="1:57">
      <c r="A432" t="s">
        <v>736</v>
      </c>
      <c r="B432" t="s">
        <v>231</v>
      </c>
      <c r="C432">
        <v>2014</v>
      </c>
      <c r="E432">
        <v>2014</v>
      </c>
      <c r="F432" t="s">
        <v>27</v>
      </c>
      <c r="G432" t="s">
        <v>224</v>
      </c>
      <c r="H432">
        <v>3000</v>
      </c>
      <c r="I432">
        <v>1</v>
      </c>
      <c r="L432" t="s">
        <v>24</v>
      </c>
      <c r="M432">
        <v>85</v>
      </c>
      <c r="Q432">
        <v>1520000</v>
      </c>
      <c r="S432">
        <v>0.51</v>
      </c>
      <c r="U432">
        <v>25</v>
      </c>
      <c r="AB432" t="s">
        <v>155</v>
      </c>
      <c r="AD432" t="s">
        <v>33</v>
      </c>
      <c r="AE432">
        <v>90</v>
      </c>
      <c r="AF432">
        <v>0.19029680400000001</v>
      </c>
      <c r="AG432">
        <v>3000</v>
      </c>
      <c r="AK432" t="s">
        <v>709</v>
      </c>
      <c r="AL432" t="s">
        <v>597</v>
      </c>
      <c r="AM432">
        <v>360.68525</v>
      </c>
      <c r="AO432" t="s">
        <v>35</v>
      </c>
      <c r="AW432">
        <v>5001000</v>
      </c>
      <c r="AY432">
        <v>125025000</v>
      </c>
      <c r="AZ432">
        <v>41675000</v>
      </c>
      <c r="BD432">
        <v>12.16</v>
      </c>
    </row>
    <row r="433" spans="1:56">
      <c r="A433" t="s">
        <v>736</v>
      </c>
      <c r="B433" t="s">
        <v>231</v>
      </c>
      <c r="C433">
        <v>2014</v>
      </c>
      <c r="E433">
        <v>2014</v>
      </c>
      <c r="F433" t="s">
        <v>27</v>
      </c>
      <c r="G433" t="s">
        <v>224</v>
      </c>
      <c r="H433">
        <v>3000</v>
      </c>
      <c r="I433">
        <v>1</v>
      </c>
      <c r="L433" t="s">
        <v>24</v>
      </c>
      <c r="M433">
        <v>95</v>
      </c>
      <c r="Q433">
        <v>2736000</v>
      </c>
      <c r="S433">
        <v>0.91</v>
      </c>
      <c r="U433">
        <v>25</v>
      </c>
      <c r="AB433" t="s">
        <v>156</v>
      </c>
      <c r="AD433" t="s">
        <v>33</v>
      </c>
      <c r="AE433">
        <v>90</v>
      </c>
      <c r="AF433">
        <v>0.41815068500000002</v>
      </c>
      <c r="AG433">
        <v>3000</v>
      </c>
      <c r="AK433" t="s">
        <v>709</v>
      </c>
      <c r="AL433" t="s">
        <v>597</v>
      </c>
      <c r="AM433">
        <v>360.68525</v>
      </c>
      <c r="AO433" t="s">
        <v>35</v>
      </c>
      <c r="AW433">
        <v>10989000</v>
      </c>
      <c r="AY433">
        <v>274725000</v>
      </c>
      <c r="AZ433">
        <v>91575000</v>
      </c>
      <c r="BD433">
        <v>9.9600000000000009</v>
      </c>
    </row>
    <row r="434" spans="1:56">
      <c r="A434" t="s">
        <v>736</v>
      </c>
      <c r="B434" t="s">
        <v>231</v>
      </c>
      <c r="C434">
        <v>2014</v>
      </c>
      <c r="E434">
        <v>2014</v>
      </c>
      <c r="F434" t="s">
        <v>27</v>
      </c>
      <c r="G434" t="s">
        <v>224</v>
      </c>
      <c r="H434">
        <v>3000</v>
      </c>
      <c r="I434">
        <v>1</v>
      </c>
      <c r="L434" t="s">
        <v>31</v>
      </c>
      <c r="M434">
        <v>105</v>
      </c>
      <c r="Q434">
        <v>4256000</v>
      </c>
      <c r="S434">
        <v>1.42</v>
      </c>
      <c r="U434">
        <v>25</v>
      </c>
      <c r="AD434" t="s">
        <v>33</v>
      </c>
      <c r="AE434">
        <v>90</v>
      </c>
      <c r="AF434">
        <v>0.59052511399999996</v>
      </c>
      <c r="AG434">
        <v>3000</v>
      </c>
      <c r="AK434" t="s">
        <v>709</v>
      </c>
      <c r="AL434" t="s">
        <v>597</v>
      </c>
      <c r="AM434">
        <v>360.68525</v>
      </c>
      <c r="AO434" t="s">
        <v>35</v>
      </c>
      <c r="AW434">
        <v>15519000</v>
      </c>
      <c r="AY434">
        <v>387975000</v>
      </c>
      <c r="AZ434">
        <v>129325000</v>
      </c>
      <c r="BD434">
        <v>10.97</v>
      </c>
    </row>
    <row r="435" spans="1:56">
      <c r="A435" t="s">
        <v>667</v>
      </c>
      <c r="B435" t="s">
        <v>536</v>
      </c>
      <c r="C435">
        <v>2014</v>
      </c>
      <c r="E435">
        <v>2014</v>
      </c>
      <c r="H435">
        <v>2000</v>
      </c>
      <c r="I435">
        <v>1</v>
      </c>
      <c r="J435" t="s">
        <v>545</v>
      </c>
      <c r="L435" t="s">
        <v>24</v>
      </c>
      <c r="N435">
        <v>6.31</v>
      </c>
      <c r="Q435">
        <v>2929344</v>
      </c>
      <c r="S435">
        <v>1.46</v>
      </c>
      <c r="U435">
        <v>20</v>
      </c>
      <c r="X435">
        <v>40</v>
      </c>
      <c r="Z435">
        <v>0.09</v>
      </c>
      <c r="AF435">
        <v>0.4</v>
      </c>
      <c r="AG435">
        <v>2000</v>
      </c>
      <c r="AH435">
        <v>12614400</v>
      </c>
      <c r="AK435" t="s">
        <v>643</v>
      </c>
      <c r="AL435" t="s">
        <v>597</v>
      </c>
      <c r="AM435">
        <v>360.68525</v>
      </c>
      <c r="AQ435">
        <v>3504000</v>
      </c>
      <c r="AW435">
        <v>7008000</v>
      </c>
      <c r="AY435">
        <v>140160000</v>
      </c>
      <c r="AZ435">
        <v>70080000</v>
      </c>
      <c r="BB435">
        <v>0.03</v>
      </c>
      <c r="BD435">
        <v>20.9</v>
      </c>
    </row>
    <row r="436" spans="1:56">
      <c r="A436" t="s">
        <v>667</v>
      </c>
      <c r="B436" t="s">
        <v>536</v>
      </c>
      <c r="C436">
        <v>2014</v>
      </c>
      <c r="E436">
        <v>2014</v>
      </c>
      <c r="H436">
        <v>2000</v>
      </c>
      <c r="I436">
        <v>1</v>
      </c>
      <c r="J436" t="s">
        <v>545</v>
      </c>
      <c r="L436" t="s">
        <v>24</v>
      </c>
      <c r="N436">
        <v>9.11</v>
      </c>
      <c r="Q436">
        <v>4401024</v>
      </c>
      <c r="S436">
        <v>2.2000000000000002</v>
      </c>
      <c r="U436">
        <v>20</v>
      </c>
      <c r="X436">
        <v>27.69</v>
      </c>
      <c r="Z436">
        <v>0.13</v>
      </c>
      <c r="AF436">
        <v>0.4</v>
      </c>
      <c r="AG436">
        <v>2000</v>
      </c>
      <c r="AH436">
        <v>18220800</v>
      </c>
      <c r="AK436" t="s">
        <v>643</v>
      </c>
      <c r="AL436" t="s">
        <v>597</v>
      </c>
      <c r="AM436">
        <v>360.68525</v>
      </c>
      <c r="AQ436">
        <v>5061333.3</v>
      </c>
      <c r="AW436">
        <v>7008000</v>
      </c>
      <c r="AY436">
        <v>140160000</v>
      </c>
      <c r="AZ436">
        <v>70080000</v>
      </c>
      <c r="BB436">
        <v>0.04</v>
      </c>
      <c r="BD436">
        <v>31.4</v>
      </c>
    </row>
    <row r="437" spans="1:56">
      <c r="A437" t="s">
        <v>666</v>
      </c>
      <c r="B437" t="s">
        <v>537</v>
      </c>
      <c r="C437">
        <v>2014</v>
      </c>
      <c r="E437">
        <v>2014</v>
      </c>
      <c r="H437">
        <v>5000</v>
      </c>
      <c r="I437">
        <v>1</v>
      </c>
      <c r="J437" t="s">
        <v>545</v>
      </c>
      <c r="L437" t="s">
        <v>31</v>
      </c>
      <c r="N437">
        <v>8.8699999999999992</v>
      </c>
      <c r="Q437">
        <v>10194888</v>
      </c>
      <c r="S437">
        <v>2.04</v>
      </c>
      <c r="U437">
        <v>20</v>
      </c>
      <c r="X437">
        <v>32.729999999999997</v>
      </c>
      <c r="Z437">
        <v>0.11</v>
      </c>
      <c r="AE437">
        <v>126</v>
      </c>
      <c r="AF437">
        <v>0.46</v>
      </c>
      <c r="AG437">
        <v>5000</v>
      </c>
      <c r="AH437">
        <v>44325600</v>
      </c>
      <c r="AK437" t="s">
        <v>643</v>
      </c>
      <c r="AL437" t="s">
        <v>597</v>
      </c>
      <c r="AM437">
        <v>360.68525</v>
      </c>
      <c r="AN437" t="s">
        <v>553</v>
      </c>
      <c r="AQ437">
        <v>12312666.699999999</v>
      </c>
      <c r="AW437">
        <v>20148000</v>
      </c>
      <c r="AY437">
        <v>402960000</v>
      </c>
      <c r="AZ437">
        <v>80592000</v>
      </c>
      <c r="BB437">
        <v>0.03</v>
      </c>
      <c r="BD437">
        <v>25.3</v>
      </c>
    </row>
    <row r="438" spans="1:56">
      <c r="A438" t="s">
        <v>666</v>
      </c>
      <c r="B438" t="s">
        <v>537</v>
      </c>
      <c r="C438">
        <v>2014</v>
      </c>
      <c r="E438">
        <v>2014</v>
      </c>
      <c r="H438">
        <v>5000</v>
      </c>
      <c r="I438">
        <v>1</v>
      </c>
      <c r="J438" t="s">
        <v>545</v>
      </c>
      <c r="L438" t="s">
        <v>31</v>
      </c>
      <c r="N438">
        <v>6.45</v>
      </c>
      <c r="Q438">
        <v>7736832</v>
      </c>
      <c r="S438">
        <v>1.55</v>
      </c>
      <c r="U438">
        <v>20</v>
      </c>
      <c r="X438">
        <v>45</v>
      </c>
      <c r="Z438">
        <v>0.08</v>
      </c>
      <c r="AE438">
        <v>126</v>
      </c>
      <c r="AF438">
        <v>0.46</v>
      </c>
      <c r="AG438">
        <v>5000</v>
      </c>
      <c r="AH438">
        <v>32236800</v>
      </c>
      <c r="AK438" t="s">
        <v>643</v>
      </c>
      <c r="AL438" t="s">
        <v>597</v>
      </c>
      <c r="AM438">
        <v>360.68525</v>
      </c>
      <c r="AN438" t="s">
        <v>554</v>
      </c>
      <c r="AQ438">
        <v>8954666.6999999993</v>
      </c>
      <c r="AW438">
        <v>20148000</v>
      </c>
      <c r="AY438">
        <v>402960000</v>
      </c>
      <c r="AZ438">
        <v>80592000</v>
      </c>
      <c r="BB438">
        <v>0.02</v>
      </c>
      <c r="BD438">
        <v>19.2</v>
      </c>
    </row>
    <row r="439" spans="1:56">
      <c r="A439" t="s">
        <v>666</v>
      </c>
      <c r="B439" t="s">
        <v>537</v>
      </c>
      <c r="C439">
        <v>2014</v>
      </c>
      <c r="E439">
        <v>2014</v>
      </c>
      <c r="H439">
        <v>5000</v>
      </c>
      <c r="I439">
        <v>1</v>
      </c>
      <c r="J439" t="s">
        <v>545</v>
      </c>
      <c r="L439" t="s">
        <v>31</v>
      </c>
      <c r="N439">
        <v>6.45</v>
      </c>
      <c r="Q439">
        <v>7253280</v>
      </c>
      <c r="S439">
        <v>1.45</v>
      </c>
      <c r="U439">
        <v>20</v>
      </c>
      <c r="X439">
        <v>45</v>
      </c>
      <c r="Z439">
        <v>0.08</v>
      </c>
      <c r="AE439">
        <v>126</v>
      </c>
      <c r="AF439">
        <v>0.46</v>
      </c>
      <c r="AG439">
        <v>5000</v>
      </c>
      <c r="AH439">
        <v>32236800</v>
      </c>
      <c r="AK439" t="s">
        <v>643</v>
      </c>
      <c r="AL439" t="s">
        <v>597</v>
      </c>
      <c r="AM439">
        <v>360.68525</v>
      </c>
      <c r="AN439" t="s">
        <v>555</v>
      </c>
      <c r="AQ439">
        <v>8954666.6999999993</v>
      </c>
      <c r="AW439">
        <v>20148000</v>
      </c>
      <c r="AY439">
        <v>402960000</v>
      </c>
      <c r="AZ439">
        <v>80592000</v>
      </c>
      <c r="BB439">
        <v>0.02</v>
      </c>
      <c r="BD439">
        <v>18</v>
      </c>
    </row>
    <row r="440" spans="1:56">
      <c r="A440" t="s">
        <v>666</v>
      </c>
      <c r="B440" t="s">
        <v>537</v>
      </c>
      <c r="C440">
        <v>2014</v>
      </c>
      <c r="E440">
        <v>2014</v>
      </c>
      <c r="H440">
        <v>5000</v>
      </c>
      <c r="I440">
        <v>1</v>
      </c>
      <c r="J440" t="s">
        <v>545</v>
      </c>
      <c r="L440" t="s">
        <v>31</v>
      </c>
      <c r="N440">
        <v>6.45</v>
      </c>
      <c r="Q440">
        <v>7615944</v>
      </c>
      <c r="S440">
        <v>1.52</v>
      </c>
      <c r="U440">
        <v>20</v>
      </c>
      <c r="X440">
        <v>45</v>
      </c>
      <c r="Z440">
        <v>0.08</v>
      </c>
      <c r="AE440">
        <v>126</v>
      </c>
      <c r="AF440">
        <v>0.46</v>
      </c>
      <c r="AG440">
        <v>5000</v>
      </c>
      <c r="AH440">
        <v>32236800</v>
      </c>
      <c r="AK440" t="s">
        <v>643</v>
      </c>
      <c r="AL440" t="s">
        <v>597</v>
      </c>
      <c r="AM440">
        <v>360.68525</v>
      </c>
      <c r="AN440" t="s">
        <v>556</v>
      </c>
      <c r="AQ440">
        <v>8954666.6999999993</v>
      </c>
      <c r="AW440">
        <v>20148000</v>
      </c>
      <c r="AY440">
        <v>402960000</v>
      </c>
      <c r="AZ440">
        <v>80592000</v>
      </c>
      <c r="BB440">
        <v>0.02</v>
      </c>
      <c r="BD440">
        <v>18.899999999999999</v>
      </c>
    </row>
    <row r="441" spans="1:56">
      <c r="A441" t="s">
        <v>666</v>
      </c>
      <c r="B441" t="s">
        <v>537</v>
      </c>
      <c r="C441">
        <v>2014</v>
      </c>
      <c r="E441">
        <v>2014</v>
      </c>
      <c r="H441">
        <v>5000</v>
      </c>
      <c r="I441">
        <v>1</v>
      </c>
      <c r="J441" t="s">
        <v>545</v>
      </c>
      <c r="L441" t="s">
        <v>31</v>
      </c>
      <c r="Q441">
        <v>6850320</v>
      </c>
      <c r="S441">
        <v>1.37</v>
      </c>
      <c r="U441">
        <v>20</v>
      </c>
      <c r="AE441">
        <v>126</v>
      </c>
      <c r="AF441">
        <v>0.46</v>
      </c>
      <c r="AG441">
        <v>5000</v>
      </c>
      <c r="AK441" t="s">
        <v>643</v>
      </c>
      <c r="AL441" t="s">
        <v>597</v>
      </c>
      <c r="AM441">
        <v>360.68525</v>
      </c>
      <c r="AN441" t="s">
        <v>557</v>
      </c>
      <c r="AW441">
        <v>20148000</v>
      </c>
      <c r="AY441">
        <v>402960000</v>
      </c>
      <c r="AZ441">
        <v>80592000</v>
      </c>
      <c r="BD441">
        <v>17</v>
      </c>
    </row>
    <row r="442" spans="1:56">
      <c r="A442" t="s">
        <v>666</v>
      </c>
      <c r="B442" t="s">
        <v>537</v>
      </c>
      <c r="C442">
        <v>2014</v>
      </c>
      <c r="E442">
        <v>2014</v>
      </c>
      <c r="H442">
        <v>5000</v>
      </c>
      <c r="I442">
        <v>1</v>
      </c>
      <c r="J442" t="s">
        <v>545</v>
      </c>
      <c r="L442" t="s">
        <v>31</v>
      </c>
      <c r="Q442">
        <v>5319072</v>
      </c>
      <c r="S442">
        <v>1.06</v>
      </c>
      <c r="U442">
        <v>20</v>
      </c>
      <c r="AE442">
        <v>126</v>
      </c>
      <c r="AF442">
        <v>0.46</v>
      </c>
      <c r="AG442">
        <v>5000</v>
      </c>
      <c r="AK442" t="s">
        <v>643</v>
      </c>
      <c r="AL442" t="s">
        <v>597</v>
      </c>
      <c r="AM442">
        <v>360.68525</v>
      </c>
      <c r="AN442" t="s">
        <v>558</v>
      </c>
      <c r="AW442">
        <v>20148000</v>
      </c>
      <c r="AY442">
        <v>402960000</v>
      </c>
      <c r="AZ442">
        <v>80592000</v>
      </c>
      <c r="BD442">
        <v>13.2</v>
      </c>
    </row>
    <row r="443" spans="1:56">
      <c r="A443" t="s">
        <v>665</v>
      </c>
      <c r="B443" t="s">
        <v>538</v>
      </c>
      <c r="C443">
        <v>2014</v>
      </c>
      <c r="E443">
        <v>2014</v>
      </c>
      <c r="H443">
        <v>5000</v>
      </c>
      <c r="I443">
        <v>1</v>
      </c>
      <c r="J443" t="s">
        <v>545</v>
      </c>
      <c r="L443" t="s">
        <v>31</v>
      </c>
      <c r="Q443">
        <v>5722032</v>
      </c>
      <c r="S443">
        <v>1.1399999999999999</v>
      </c>
      <c r="U443">
        <v>20</v>
      </c>
      <c r="AE443">
        <v>126</v>
      </c>
      <c r="AF443">
        <v>0.46</v>
      </c>
      <c r="AG443">
        <v>5000</v>
      </c>
      <c r="AK443" t="s">
        <v>643</v>
      </c>
      <c r="AL443" t="s">
        <v>597</v>
      </c>
      <c r="AM443">
        <v>360.68525</v>
      </c>
      <c r="AN443" t="s">
        <v>559</v>
      </c>
      <c r="AW443">
        <v>20148000</v>
      </c>
      <c r="AY443">
        <v>402960000</v>
      </c>
      <c r="AZ443">
        <v>80592000</v>
      </c>
      <c r="BD443">
        <v>14.2</v>
      </c>
    </row>
    <row r="444" spans="1:56">
      <c r="A444" t="s">
        <v>665</v>
      </c>
      <c r="B444" t="s">
        <v>538</v>
      </c>
      <c r="C444">
        <v>2014</v>
      </c>
      <c r="E444">
        <v>2014</v>
      </c>
      <c r="H444">
        <v>3000</v>
      </c>
      <c r="I444">
        <v>1</v>
      </c>
      <c r="J444" t="s">
        <v>545</v>
      </c>
      <c r="L444" t="s">
        <v>24</v>
      </c>
      <c r="Q444">
        <v>34058880</v>
      </c>
      <c r="S444">
        <v>11.35</v>
      </c>
      <c r="U444">
        <v>20</v>
      </c>
      <c r="AE444">
        <v>90</v>
      </c>
      <c r="AF444">
        <v>0.24</v>
      </c>
      <c r="AG444">
        <v>3000</v>
      </c>
      <c r="AK444" t="s">
        <v>643</v>
      </c>
      <c r="AL444" t="s">
        <v>597</v>
      </c>
      <c r="AM444">
        <v>360.68525</v>
      </c>
      <c r="AW444">
        <v>6307200</v>
      </c>
      <c r="AY444">
        <v>126144000</v>
      </c>
      <c r="AZ444">
        <v>42048000</v>
      </c>
      <c r="BD444">
        <v>270</v>
      </c>
    </row>
    <row r="445" spans="1:56">
      <c r="A445" t="s">
        <v>665</v>
      </c>
      <c r="B445" t="s">
        <v>538</v>
      </c>
      <c r="C445">
        <v>2014</v>
      </c>
      <c r="E445">
        <v>2014</v>
      </c>
      <c r="H445">
        <v>2500</v>
      </c>
      <c r="I445">
        <v>1</v>
      </c>
      <c r="J445" t="s">
        <v>545</v>
      </c>
      <c r="L445" t="s">
        <v>24</v>
      </c>
      <c r="Q445">
        <v>8672400</v>
      </c>
      <c r="S445">
        <v>3.47</v>
      </c>
      <c r="U445">
        <v>20</v>
      </c>
      <c r="AE445">
        <v>110</v>
      </c>
      <c r="AF445">
        <v>0.22</v>
      </c>
      <c r="AG445">
        <v>2500</v>
      </c>
      <c r="AK445" t="s">
        <v>643</v>
      </c>
      <c r="AL445" t="s">
        <v>597</v>
      </c>
      <c r="AM445">
        <v>360.68525</v>
      </c>
      <c r="AW445">
        <v>4818000</v>
      </c>
      <c r="AY445">
        <v>96360000</v>
      </c>
      <c r="AZ445">
        <v>38544000</v>
      </c>
      <c r="BD445">
        <v>90</v>
      </c>
    </row>
    <row r="446" spans="1:56">
      <c r="A446" t="s">
        <v>664</v>
      </c>
      <c r="B446" t="s">
        <v>149</v>
      </c>
      <c r="C446">
        <v>2014</v>
      </c>
      <c r="E446">
        <v>2014</v>
      </c>
      <c r="H446">
        <v>0.3</v>
      </c>
      <c r="I446">
        <v>1</v>
      </c>
      <c r="J446" t="s">
        <v>548</v>
      </c>
      <c r="L446" t="s">
        <v>24</v>
      </c>
      <c r="N446">
        <v>2.94</v>
      </c>
      <c r="U446">
        <v>20</v>
      </c>
      <c r="X446">
        <v>45</v>
      </c>
      <c r="Z446">
        <v>0.08</v>
      </c>
      <c r="AF446">
        <v>0.21</v>
      </c>
      <c r="AG446">
        <v>0.3</v>
      </c>
      <c r="AH446">
        <v>883</v>
      </c>
      <c r="AK446" t="s">
        <v>643</v>
      </c>
      <c r="AL446" t="s">
        <v>597</v>
      </c>
      <c r="AM446">
        <v>360.68525</v>
      </c>
      <c r="AQ446">
        <v>245.3</v>
      </c>
      <c r="AW446">
        <v>551.88</v>
      </c>
      <c r="AY446">
        <v>11037.6</v>
      </c>
      <c r="AZ446">
        <v>36792000</v>
      </c>
      <c r="BB446">
        <v>0.02</v>
      </c>
    </row>
    <row r="447" spans="1:56">
      <c r="A447" t="s">
        <v>664</v>
      </c>
      <c r="B447" t="s">
        <v>149</v>
      </c>
      <c r="C447">
        <v>2014</v>
      </c>
      <c r="E447">
        <v>2014</v>
      </c>
      <c r="H447">
        <v>0.5</v>
      </c>
      <c r="I447">
        <v>1</v>
      </c>
      <c r="J447" t="s">
        <v>545</v>
      </c>
      <c r="L447" t="s">
        <v>24</v>
      </c>
      <c r="N447">
        <v>6.46</v>
      </c>
      <c r="U447">
        <v>20</v>
      </c>
      <c r="X447">
        <v>40</v>
      </c>
      <c r="Z447">
        <v>0.09</v>
      </c>
      <c r="AE447">
        <v>1.7</v>
      </c>
      <c r="AF447">
        <v>0.41</v>
      </c>
      <c r="AG447">
        <v>0.5</v>
      </c>
      <c r="AH447">
        <v>3232</v>
      </c>
      <c r="AK447" t="s">
        <v>643</v>
      </c>
      <c r="AL447" t="s">
        <v>597</v>
      </c>
      <c r="AM447">
        <v>360.68525</v>
      </c>
      <c r="AQ447">
        <v>897.9</v>
      </c>
      <c r="AW447">
        <v>1795.8</v>
      </c>
      <c r="AY447">
        <v>35916</v>
      </c>
      <c r="AZ447">
        <v>71832000</v>
      </c>
      <c r="BB447">
        <v>0.03</v>
      </c>
    </row>
    <row r="448" spans="1:56">
      <c r="A448" t="s">
        <v>663</v>
      </c>
      <c r="B448" t="s">
        <v>532</v>
      </c>
      <c r="C448">
        <v>2014</v>
      </c>
      <c r="E448">
        <v>2014</v>
      </c>
      <c r="H448">
        <v>3300</v>
      </c>
      <c r="I448">
        <v>1</v>
      </c>
      <c r="J448" t="s">
        <v>545</v>
      </c>
      <c r="L448" t="s">
        <v>24</v>
      </c>
      <c r="N448">
        <v>9.8800000000000008</v>
      </c>
      <c r="U448">
        <v>20</v>
      </c>
      <c r="X448">
        <v>30</v>
      </c>
      <c r="Z448">
        <v>0.12</v>
      </c>
      <c r="AE448">
        <v>105</v>
      </c>
      <c r="AF448">
        <v>0.47</v>
      </c>
      <c r="AG448">
        <v>3300</v>
      </c>
      <c r="AH448">
        <v>32608224</v>
      </c>
      <c r="AK448" t="s">
        <v>643</v>
      </c>
      <c r="AL448" t="s">
        <v>597</v>
      </c>
      <c r="AM448">
        <v>360.68525</v>
      </c>
      <c r="AQ448">
        <v>9057840</v>
      </c>
      <c r="AW448">
        <v>13586760</v>
      </c>
      <c r="AY448">
        <v>271735200</v>
      </c>
      <c r="AZ448">
        <v>82344000</v>
      </c>
      <c r="BB448">
        <v>0.03</v>
      </c>
    </row>
    <row r="449" spans="1:57">
      <c r="A449" t="s">
        <v>663</v>
      </c>
      <c r="B449" t="s">
        <v>532</v>
      </c>
      <c r="C449">
        <v>2014</v>
      </c>
      <c r="E449">
        <v>2014</v>
      </c>
      <c r="H449">
        <v>3300</v>
      </c>
      <c r="I449">
        <v>1</v>
      </c>
      <c r="J449" t="s">
        <v>545</v>
      </c>
      <c r="L449" t="s">
        <v>24</v>
      </c>
      <c r="Q449">
        <v>1554094</v>
      </c>
      <c r="S449">
        <v>0.47</v>
      </c>
      <c r="U449">
        <v>20</v>
      </c>
      <c r="AE449">
        <v>117</v>
      </c>
      <c r="AF449">
        <v>0.42</v>
      </c>
      <c r="AG449">
        <v>3300</v>
      </c>
      <c r="AK449" t="s">
        <v>643</v>
      </c>
      <c r="AL449" t="s">
        <v>597</v>
      </c>
      <c r="AM449">
        <v>360.68525</v>
      </c>
      <c r="AW449">
        <v>12141360</v>
      </c>
      <c r="AY449">
        <v>242827200</v>
      </c>
      <c r="AZ449">
        <v>73584000</v>
      </c>
      <c r="BD449">
        <v>6.4</v>
      </c>
    </row>
    <row r="450" spans="1:57">
      <c r="A450" t="s">
        <v>663</v>
      </c>
      <c r="B450" t="s">
        <v>532</v>
      </c>
      <c r="C450">
        <v>2014</v>
      </c>
      <c r="E450">
        <v>2014</v>
      </c>
      <c r="H450">
        <v>3300</v>
      </c>
      <c r="I450">
        <v>1</v>
      </c>
      <c r="J450" t="s">
        <v>545</v>
      </c>
      <c r="L450" t="s">
        <v>24</v>
      </c>
      <c r="Q450">
        <v>1754137</v>
      </c>
      <c r="S450">
        <v>0.53</v>
      </c>
      <c r="U450">
        <v>20</v>
      </c>
      <c r="AE450">
        <v>126</v>
      </c>
      <c r="AF450">
        <v>0.37</v>
      </c>
      <c r="AG450">
        <v>3300</v>
      </c>
      <c r="AK450" t="s">
        <v>643</v>
      </c>
      <c r="AL450" t="s">
        <v>597</v>
      </c>
      <c r="AM450">
        <v>360.68525</v>
      </c>
      <c r="AW450">
        <v>10695960</v>
      </c>
      <c r="AY450">
        <v>213919200</v>
      </c>
      <c r="AZ450">
        <v>64824000</v>
      </c>
      <c r="BD450">
        <v>8.1999999999999993</v>
      </c>
    </row>
    <row r="451" spans="1:57">
      <c r="A451" t="s">
        <v>662</v>
      </c>
      <c r="B451" t="s">
        <v>539</v>
      </c>
      <c r="C451">
        <v>2014</v>
      </c>
      <c r="E451">
        <v>2014</v>
      </c>
      <c r="H451">
        <v>5000</v>
      </c>
      <c r="I451">
        <v>1</v>
      </c>
      <c r="J451" t="s">
        <v>548</v>
      </c>
      <c r="L451" t="s">
        <v>31</v>
      </c>
      <c r="U451">
        <v>20</v>
      </c>
      <c r="AE451">
        <v>120</v>
      </c>
      <c r="AF451">
        <v>0.39</v>
      </c>
      <c r="AG451">
        <v>5000</v>
      </c>
      <c r="AK451" t="s">
        <v>643</v>
      </c>
      <c r="AL451" t="s">
        <v>597</v>
      </c>
      <c r="AM451">
        <v>360.68525</v>
      </c>
      <c r="AW451">
        <v>17082000</v>
      </c>
      <c r="AY451">
        <v>341640000</v>
      </c>
      <c r="AZ451">
        <v>68328000</v>
      </c>
    </row>
    <row r="452" spans="1:57">
      <c r="A452" s="238" t="s">
        <v>671</v>
      </c>
      <c r="B452" s="238" t="s">
        <v>271</v>
      </c>
      <c r="C452" s="238">
        <v>2015</v>
      </c>
      <c r="D452" s="238"/>
      <c r="E452" s="238">
        <v>2015</v>
      </c>
      <c r="F452" s="238" t="s">
        <v>27</v>
      </c>
      <c r="G452" s="238" t="s">
        <v>272</v>
      </c>
      <c r="H452" s="238">
        <v>1650</v>
      </c>
      <c r="I452" s="238">
        <v>37</v>
      </c>
      <c r="J452" s="238" t="s">
        <v>460</v>
      </c>
      <c r="K452" s="238" t="s">
        <v>461</v>
      </c>
      <c r="L452" s="238" t="s">
        <v>24</v>
      </c>
      <c r="M452" s="238">
        <v>71</v>
      </c>
      <c r="N452" s="238">
        <v>6.36</v>
      </c>
      <c r="O452" s="238"/>
      <c r="P452" s="238">
        <v>1.77</v>
      </c>
      <c r="Q452" s="238"/>
      <c r="R452" s="238"/>
      <c r="S452" s="238"/>
      <c r="T452" s="238"/>
      <c r="U452" s="238">
        <v>20</v>
      </c>
      <c r="V452" s="238"/>
      <c r="W452" s="238"/>
      <c r="X452" s="238"/>
      <c r="Y452" s="238"/>
      <c r="Z452" s="238"/>
      <c r="AA452" s="238"/>
      <c r="AB452" s="238"/>
      <c r="AC452" s="238">
        <v>0.48</v>
      </c>
      <c r="AD452" s="238" t="s">
        <v>22</v>
      </c>
      <c r="AE452" s="238">
        <v>82</v>
      </c>
      <c r="AF452" s="238">
        <v>0.423926417</v>
      </c>
      <c r="AG452" s="238">
        <v>61050</v>
      </c>
      <c r="AH452" s="238">
        <v>387997200</v>
      </c>
      <c r="AI452" s="238"/>
      <c r="AJ452" s="238"/>
      <c r="AK452" s="238" t="s">
        <v>769</v>
      </c>
      <c r="AL452" s="238" t="s">
        <v>597</v>
      </c>
      <c r="AM452" s="238">
        <v>427.65899999999999</v>
      </c>
      <c r="AN452" s="238"/>
      <c r="AO452" s="238" t="s">
        <v>340</v>
      </c>
      <c r="AP452" s="238"/>
      <c r="AQ452" s="238">
        <v>107777000</v>
      </c>
      <c r="AR452" s="238"/>
      <c r="AS452" s="238"/>
      <c r="AT452" s="238"/>
      <c r="AU452" s="238"/>
      <c r="AV452" s="238"/>
      <c r="AW452" s="238">
        <v>226715000</v>
      </c>
      <c r="AX452" s="238"/>
      <c r="AY452" s="238">
        <v>4534300000</v>
      </c>
      <c r="AZ452" s="238">
        <v>74271908.271908298</v>
      </c>
      <c r="BA452" s="238"/>
      <c r="BB452" s="238">
        <v>2.4E-2</v>
      </c>
      <c r="BC452" s="238"/>
      <c r="BD452" s="238"/>
      <c r="BE452" s="238"/>
    </row>
    <row r="453" spans="1:57">
      <c r="A453" s="237" t="s">
        <v>710</v>
      </c>
      <c r="B453" s="237" t="s">
        <v>327</v>
      </c>
      <c r="C453" s="237">
        <v>2015</v>
      </c>
      <c r="D453" s="237"/>
      <c r="E453" s="237">
        <v>2015</v>
      </c>
      <c r="F453" s="237" t="s">
        <v>27</v>
      </c>
      <c r="G453" s="237"/>
      <c r="H453" s="237">
        <v>2100</v>
      </c>
      <c r="I453" s="237">
        <v>1</v>
      </c>
      <c r="J453" s="237"/>
      <c r="K453" s="237" t="s">
        <v>462</v>
      </c>
      <c r="L453" s="237"/>
      <c r="M453" s="237">
        <v>70</v>
      </c>
      <c r="N453" s="237">
        <v>1.56</v>
      </c>
      <c r="O453" s="237"/>
      <c r="P453" s="237">
        <v>0.43</v>
      </c>
      <c r="Q453" s="237"/>
      <c r="R453" s="237"/>
      <c r="S453" s="237"/>
      <c r="T453" s="237"/>
      <c r="U453" s="237"/>
      <c r="V453" s="237"/>
      <c r="W453" s="237"/>
      <c r="X453" s="237"/>
      <c r="Y453" s="237"/>
      <c r="Z453" s="237"/>
      <c r="AA453" s="237"/>
      <c r="AB453" s="237"/>
      <c r="AC453" s="237"/>
      <c r="AD453" s="237" t="s">
        <v>36</v>
      </c>
      <c r="AE453" s="237">
        <v>80</v>
      </c>
      <c r="AF453" s="237"/>
      <c r="AG453" s="237">
        <v>2100</v>
      </c>
      <c r="AH453" s="237">
        <v>3280000</v>
      </c>
      <c r="AI453" s="237"/>
      <c r="AJ453" s="237"/>
      <c r="AK453" s="237" t="s">
        <v>769</v>
      </c>
      <c r="AL453" s="237" t="s">
        <v>597</v>
      </c>
      <c r="AM453" s="237">
        <v>427.65899999999999</v>
      </c>
      <c r="AN453" s="237"/>
      <c r="AO453" s="237" t="s">
        <v>356</v>
      </c>
      <c r="AP453" s="237"/>
      <c r="AQ453" s="237">
        <v>911111</v>
      </c>
      <c r="AR453" s="237"/>
      <c r="AS453" s="237"/>
      <c r="AT453" s="237"/>
      <c r="AU453" s="237"/>
      <c r="AV453" s="237"/>
      <c r="AW453" s="237"/>
      <c r="AX453" s="237"/>
      <c r="AY453" s="237"/>
      <c r="AZ453" s="237"/>
      <c r="BA453" s="237"/>
      <c r="BB453" s="237"/>
      <c r="BC453" s="237"/>
      <c r="BD453" s="237"/>
      <c r="BE453" s="237"/>
    </row>
    <row r="454" spans="1:57">
      <c r="A454" s="238" t="s">
        <v>710</v>
      </c>
      <c r="B454" s="238" t="s">
        <v>327</v>
      </c>
      <c r="C454" s="238">
        <v>2015</v>
      </c>
      <c r="D454" s="238"/>
      <c r="E454" s="238">
        <v>2015</v>
      </c>
      <c r="F454" s="238" t="s">
        <v>27</v>
      </c>
      <c r="G454" s="238"/>
      <c r="H454" s="238">
        <v>1600</v>
      </c>
      <c r="I454" s="238">
        <v>1</v>
      </c>
      <c r="J454" s="238"/>
      <c r="K454" s="238" t="s">
        <v>462</v>
      </c>
      <c r="L454" s="238"/>
      <c r="M454" s="238">
        <v>65</v>
      </c>
      <c r="N454" s="238">
        <v>1.77</v>
      </c>
      <c r="O454" s="238"/>
      <c r="P454" s="238">
        <v>0.49</v>
      </c>
      <c r="Q454" s="238"/>
      <c r="R454" s="238"/>
      <c r="S454" s="238"/>
      <c r="T454" s="238"/>
      <c r="U454" s="238"/>
      <c r="V454" s="238"/>
      <c r="W454" s="238"/>
      <c r="X454" s="238"/>
      <c r="Y454" s="238"/>
      <c r="Z454" s="238"/>
      <c r="AA454" s="238"/>
      <c r="AB454" s="238"/>
      <c r="AC454" s="238"/>
      <c r="AD454" s="238" t="s">
        <v>36</v>
      </c>
      <c r="AE454" s="238">
        <v>70</v>
      </c>
      <c r="AF454" s="238"/>
      <c r="AG454" s="238">
        <v>1600</v>
      </c>
      <c r="AH454" s="238">
        <v>2830000</v>
      </c>
      <c r="AI454" s="238"/>
      <c r="AJ454" s="238"/>
      <c r="AK454" s="238" t="s">
        <v>769</v>
      </c>
      <c r="AL454" s="238" t="s">
        <v>597</v>
      </c>
      <c r="AM454" s="238">
        <v>427.65899999999999</v>
      </c>
      <c r="AN454" s="238"/>
      <c r="AO454" s="238" t="s">
        <v>356</v>
      </c>
      <c r="AP454" s="238"/>
      <c r="AQ454" s="238">
        <v>786111</v>
      </c>
      <c r="AR454" s="238"/>
      <c r="AS454" s="238"/>
      <c r="AT454" s="238"/>
      <c r="AU454" s="238"/>
      <c r="AV454" s="238"/>
      <c r="AW454" s="238"/>
      <c r="AX454" s="238"/>
      <c r="AY454" s="238"/>
      <c r="AZ454" s="238"/>
      <c r="BA454" s="238"/>
      <c r="BB454" s="238"/>
      <c r="BC454" s="238"/>
      <c r="BD454" s="238"/>
      <c r="BE454" s="238"/>
    </row>
    <row r="455" spans="1:57">
      <c r="A455" s="237" t="s">
        <v>710</v>
      </c>
      <c r="B455" s="237" t="s">
        <v>327</v>
      </c>
      <c r="C455" s="237">
        <v>2015</v>
      </c>
      <c r="D455" s="237"/>
      <c r="E455" s="237">
        <v>2015</v>
      </c>
      <c r="F455" s="237" t="s">
        <v>27</v>
      </c>
      <c r="G455" s="237"/>
      <c r="H455" s="237">
        <v>2700</v>
      </c>
      <c r="I455" s="237">
        <v>1</v>
      </c>
      <c r="J455" s="237"/>
      <c r="K455" s="237" t="s">
        <v>462</v>
      </c>
      <c r="L455" s="237"/>
      <c r="M455" s="237">
        <v>80</v>
      </c>
      <c r="N455" s="237">
        <v>1.57</v>
      </c>
      <c r="O455" s="237"/>
      <c r="P455" s="237">
        <v>0.44</v>
      </c>
      <c r="Q455" s="237"/>
      <c r="R455" s="237"/>
      <c r="S455" s="237"/>
      <c r="T455" s="237"/>
      <c r="U455" s="237"/>
      <c r="V455" s="237"/>
      <c r="W455" s="237"/>
      <c r="X455" s="237"/>
      <c r="Y455" s="237"/>
      <c r="Z455" s="237"/>
      <c r="AA455" s="237"/>
      <c r="AB455" s="237"/>
      <c r="AC455" s="237"/>
      <c r="AD455" s="237" t="s">
        <v>36</v>
      </c>
      <c r="AE455" s="237">
        <v>90</v>
      </c>
      <c r="AF455" s="237"/>
      <c r="AG455" s="237">
        <v>2700</v>
      </c>
      <c r="AH455" s="237">
        <v>4250000</v>
      </c>
      <c r="AI455" s="237"/>
      <c r="AJ455" s="237"/>
      <c r="AK455" s="237" t="s">
        <v>769</v>
      </c>
      <c r="AL455" s="237" t="s">
        <v>597</v>
      </c>
      <c r="AM455" s="237">
        <v>427.65899999999999</v>
      </c>
      <c r="AN455" s="237"/>
      <c r="AO455" s="237" t="s">
        <v>356</v>
      </c>
      <c r="AP455" s="237"/>
      <c r="AQ455" s="237">
        <v>1180556</v>
      </c>
      <c r="AR455" s="237"/>
      <c r="AS455" s="237"/>
      <c r="AT455" s="237"/>
      <c r="AU455" s="237"/>
      <c r="AV455" s="237"/>
      <c r="AW455" s="237"/>
      <c r="AX455" s="237"/>
      <c r="AY455" s="237"/>
      <c r="AZ455" s="237"/>
      <c r="BA455" s="237"/>
      <c r="BB455" s="237"/>
      <c r="BC455" s="237"/>
      <c r="BD455" s="237"/>
      <c r="BE455" s="237"/>
    </row>
    <row r="456" spans="1:57">
      <c r="A456" s="238" t="s">
        <v>758</v>
      </c>
      <c r="B456" s="238" t="s">
        <v>121</v>
      </c>
      <c r="C456" s="238">
        <v>2015</v>
      </c>
      <c r="D456" s="238"/>
      <c r="E456" s="238">
        <v>2015</v>
      </c>
      <c r="F456" s="238" t="s">
        <v>27</v>
      </c>
      <c r="G456" s="238"/>
      <c r="H456" s="238">
        <v>2000</v>
      </c>
      <c r="I456" s="238">
        <v>1</v>
      </c>
      <c r="J456" s="238" t="s">
        <v>490</v>
      </c>
      <c r="K456" s="238"/>
      <c r="L456" s="238" t="s">
        <v>24</v>
      </c>
      <c r="M456" s="238">
        <v>70</v>
      </c>
      <c r="N456" s="238"/>
      <c r="O456" s="238"/>
      <c r="P456" s="238"/>
      <c r="Q456" s="238"/>
      <c r="R456" s="238"/>
      <c r="S456" s="238"/>
      <c r="T456" s="238"/>
      <c r="U456" s="238">
        <v>20</v>
      </c>
      <c r="V456" s="238"/>
      <c r="W456" s="238"/>
      <c r="X456" s="238"/>
      <c r="Y456" s="238"/>
      <c r="Z456" s="238"/>
      <c r="AA456" s="238"/>
      <c r="AB456" s="238"/>
      <c r="AC456" s="238"/>
      <c r="AD456" s="238" t="s">
        <v>489</v>
      </c>
      <c r="AE456" s="238">
        <v>80</v>
      </c>
      <c r="AF456" s="238">
        <v>0.228310502</v>
      </c>
      <c r="AG456" s="238">
        <v>2000</v>
      </c>
      <c r="AH456" s="238"/>
      <c r="AI456" s="238"/>
      <c r="AJ456" s="238"/>
      <c r="AK456" s="238" t="s">
        <v>769</v>
      </c>
      <c r="AL456" s="238" t="s">
        <v>597</v>
      </c>
      <c r="AM456" s="238">
        <v>427.65899999999999</v>
      </c>
      <c r="AN456" s="238"/>
      <c r="AO456" s="238" t="s">
        <v>356</v>
      </c>
      <c r="AP456" s="238"/>
      <c r="AQ456" s="238"/>
      <c r="AR456" s="238"/>
      <c r="AS456" s="238"/>
      <c r="AT456" s="238"/>
      <c r="AU456" s="238"/>
      <c r="AV456" s="238"/>
      <c r="AW456" s="238">
        <v>4000000</v>
      </c>
      <c r="AX456" s="238"/>
      <c r="AY456" s="238">
        <v>80000000</v>
      </c>
      <c r="AZ456" s="238">
        <v>40000000</v>
      </c>
      <c r="BA456" s="238"/>
      <c r="BB456" s="238"/>
      <c r="BC456" s="238"/>
      <c r="BD456" s="238"/>
      <c r="BE456" s="238"/>
    </row>
    <row r="457" spans="1:57">
      <c r="A457" s="237" t="s">
        <v>785</v>
      </c>
      <c r="B457" s="237" t="s">
        <v>491</v>
      </c>
      <c r="C457" s="237">
        <v>2015</v>
      </c>
      <c r="D457" s="237"/>
      <c r="E457" s="237">
        <v>2015</v>
      </c>
      <c r="F457" s="237" t="s">
        <v>27</v>
      </c>
      <c r="G457" s="237" t="s">
        <v>492</v>
      </c>
      <c r="H457" s="237">
        <v>4</v>
      </c>
      <c r="I457" s="237">
        <v>1</v>
      </c>
      <c r="J457" s="237" t="s">
        <v>493</v>
      </c>
      <c r="K457" s="237"/>
      <c r="L457" s="237" t="s">
        <v>24</v>
      </c>
      <c r="M457" s="237">
        <v>8</v>
      </c>
      <c r="N457" s="237">
        <v>24.66</v>
      </c>
      <c r="O457" s="237"/>
      <c r="P457" s="237">
        <v>6.85</v>
      </c>
      <c r="Q457" s="237"/>
      <c r="R457" s="237"/>
      <c r="S457" s="237"/>
      <c r="T457" s="237"/>
      <c r="U457" s="237">
        <v>10</v>
      </c>
      <c r="V457" s="237"/>
      <c r="W457" s="237"/>
      <c r="X457" s="237"/>
      <c r="Y457" s="237"/>
      <c r="Z457" s="237"/>
      <c r="AA457" s="237"/>
      <c r="AB457" s="237"/>
      <c r="AC457" s="237">
        <v>9.48</v>
      </c>
      <c r="AD457" s="237" t="s">
        <v>33</v>
      </c>
      <c r="AE457" s="237">
        <v>5</v>
      </c>
      <c r="AF457" s="237">
        <v>8.2500000000000004E-2</v>
      </c>
      <c r="AG457" s="237">
        <v>4</v>
      </c>
      <c r="AH457" s="237">
        <v>98653</v>
      </c>
      <c r="AI457" s="237"/>
      <c r="AJ457" s="237"/>
      <c r="AK457" s="237" t="s">
        <v>769</v>
      </c>
      <c r="AL457" s="237" t="s">
        <v>597</v>
      </c>
      <c r="AM457" s="237">
        <v>427.65899999999999</v>
      </c>
      <c r="AN457" s="237"/>
      <c r="AO457" s="237" t="s">
        <v>356</v>
      </c>
      <c r="AP457" s="237"/>
      <c r="AQ457" s="237">
        <v>27404</v>
      </c>
      <c r="AR457" s="237"/>
      <c r="AS457" s="237"/>
      <c r="AT457" s="237"/>
      <c r="AU457" s="237"/>
      <c r="AV457" s="237"/>
      <c r="AW457" s="237">
        <v>2890.8</v>
      </c>
      <c r="AX457" s="237"/>
      <c r="AY457" s="237">
        <v>28908</v>
      </c>
      <c r="AZ457" s="237">
        <v>7227000</v>
      </c>
      <c r="BA457" s="237"/>
      <c r="BB457" s="237">
        <v>0.94799999999999995</v>
      </c>
      <c r="BC457" s="237"/>
      <c r="BD457" s="237"/>
      <c r="BE457" s="237"/>
    </row>
    <row r="458" spans="1:57">
      <c r="A458" s="238" t="s">
        <v>785</v>
      </c>
      <c r="B458" s="238" t="s">
        <v>491</v>
      </c>
      <c r="C458" s="238">
        <v>2015</v>
      </c>
      <c r="D458" s="238"/>
      <c r="E458" s="238">
        <v>2015</v>
      </c>
      <c r="F458" s="238" t="s">
        <v>27</v>
      </c>
      <c r="G458" s="238" t="s">
        <v>492</v>
      </c>
      <c r="H458" s="238">
        <v>4</v>
      </c>
      <c r="I458" s="238">
        <v>1</v>
      </c>
      <c r="J458" s="238" t="s">
        <v>493</v>
      </c>
      <c r="K458" s="238"/>
      <c r="L458" s="238" t="s">
        <v>24</v>
      </c>
      <c r="M458" s="238">
        <v>8</v>
      </c>
      <c r="N458" s="238">
        <v>24.66</v>
      </c>
      <c r="O458" s="238"/>
      <c r="P458" s="238">
        <v>6.85</v>
      </c>
      <c r="Q458" s="238"/>
      <c r="R458" s="238"/>
      <c r="S458" s="238"/>
      <c r="T458" s="238"/>
      <c r="U458" s="238">
        <v>10</v>
      </c>
      <c r="V458" s="238"/>
      <c r="W458" s="238"/>
      <c r="X458" s="238"/>
      <c r="Y458" s="238"/>
      <c r="Z458" s="238"/>
      <c r="AA458" s="238"/>
      <c r="AB458" s="238"/>
      <c r="AC458" s="238">
        <v>3.19</v>
      </c>
      <c r="AD458" s="238" t="s">
        <v>33</v>
      </c>
      <c r="AE458" s="238">
        <v>5</v>
      </c>
      <c r="AF458" s="238">
        <v>0.245</v>
      </c>
      <c r="AG458" s="238">
        <v>4</v>
      </c>
      <c r="AH458" s="238">
        <v>98653</v>
      </c>
      <c r="AI458" s="238"/>
      <c r="AJ458" s="238"/>
      <c r="AK458" s="238" t="s">
        <v>769</v>
      </c>
      <c r="AL458" s="238" t="s">
        <v>597</v>
      </c>
      <c r="AM458" s="238">
        <v>427.65899999999999</v>
      </c>
      <c r="AN458" s="238"/>
      <c r="AO458" s="238" t="s">
        <v>356</v>
      </c>
      <c r="AP458" s="238"/>
      <c r="AQ458" s="238">
        <v>27404</v>
      </c>
      <c r="AR458" s="238"/>
      <c r="AS458" s="238"/>
      <c r="AT458" s="238"/>
      <c r="AU458" s="238"/>
      <c r="AV458" s="238"/>
      <c r="AW458" s="238">
        <v>8584.7999999999993</v>
      </c>
      <c r="AX458" s="238"/>
      <c r="AY458" s="238">
        <v>85848</v>
      </c>
      <c r="AZ458" s="238">
        <v>21462000</v>
      </c>
      <c r="BA458" s="238"/>
      <c r="BB458" s="238">
        <v>0.31900000000000001</v>
      </c>
      <c r="BC458" s="238"/>
      <c r="BD458" s="238"/>
      <c r="BE458" s="238"/>
    </row>
    <row r="459" spans="1:57">
      <c r="A459" s="237" t="s">
        <v>785</v>
      </c>
      <c r="B459" s="237" t="s">
        <v>491</v>
      </c>
      <c r="C459" s="237">
        <v>2015</v>
      </c>
      <c r="D459" s="237"/>
      <c r="E459" s="237">
        <v>2015</v>
      </c>
      <c r="F459" s="237" t="s">
        <v>27</v>
      </c>
      <c r="G459" s="237" t="s">
        <v>492</v>
      </c>
      <c r="H459" s="237">
        <v>4</v>
      </c>
      <c r="I459" s="237">
        <v>1</v>
      </c>
      <c r="J459" s="237" t="s">
        <v>493</v>
      </c>
      <c r="K459" s="237"/>
      <c r="L459" s="237" t="s">
        <v>24</v>
      </c>
      <c r="M459" s="237">
        <v>8</v>
      </c>
      <c r="N459" s="237">
        <v>24.66</v>
      </c>
      <c r="O459" s="237"/>
      <c r="P459" s="237">
        <v>6.85</v>
      </c>
      <c r="Q459" s="237"/>
      <c r="R459" s="237"/>
      <c r="S459" s="237"/>
      <c r="T459" s="237"/>
      <c r="U459" s="237">
        <v>10</v>
      </c>
      <c r="V459" s="237"/>
      <c r="W459" s="237"/>
      <c r="X459" s="237"/>
      <c r="Y459" s="237"/>
      <c r="Z459" s="237"/>
      <c r="AA459" s="237"/>
      <c r="AB459" s="237"/>
      <c r="AC459" s="237">
        <v>1.94</v>
      </c>
      <c r="AD459" s="237" t="s">
        <v>33</v>
      </c>
      <c r="AE459" s="237">
        <v>5</v>
      </c>
      <c r="AF459" s="237">
        <v>0.40250000000000002</v>
      </c>
      <c r="AG459" s="237">
        <v>4</v>
      </c>
      <c r="AH459" s="237">
        <v>98653</v>
      </c>
      <c r="AI459" s="237"/>
      <c r="AJ459" s="237"/>
      <c r="AK459" s="237" t="s">
        <v>769</v>
      </c>
      <c r="AL459" s="237" t="s">
        <v>597</v>
      </c>
      <c r="AM459" s="237">
        <v>427.65899999999999</v>
      </c>
      <c r="AN459" s="237"/>
      <c r="AO459" s="237" t="s">
        <v>356</v>
      </c>
      <c r="AP459" s="237"/>
      <c r="AQ459" s="237">
        <v>27404</v>
      </c>
      <c r="AR459" s="237"/>
      <c r="AS459" s="237"/>
      <c r="AT459" s="237"/>
      <c r="AU459" s="237"/>
      <c r="AV459" s="237"/>
      <c r="AW459" s="237">
        <v>14103.6</v>
      </c>
      <c r="AX459" s="237"/>
      <c r="AY459" s="237">
        <v>141036</v>
      </c>
      <c r="AZ459" s="237">
        <v>35259000</v>
      </c>
      <c r="BA459" s="237"/>
      <c r="BB459" s="237">
        <v>0.19400000000000001</v>
      </c>
      <c r="BC459" s="237"/>
      <c r="BD459" s="237"/>
      <c r="BE459" s="237"/>
    </row>
    <row r="460" spans="1:57">
      <c r="A460" s="238" t="s">
        <v>785</v>
      </c>
      <c r="B460" s="238" t="s">
        <v>491</v>
      </c>
      <c r="C460" s="238">
        <v>2015</v>
      </c>
      <c r="D460" s="238"/>
      <c r="E460" s="238">
        <v>2015</v>
      </c>
      <c r="F460" s="238" t="s">
        <v>27</v>
      </c>
      <c r="G460" s="238" t="s">
        <v>492</v>
      </c>
      <c r="H460" s="238">
        <v>4</v>
      </c>
      <c r="I460" s="238">
        <v>1</v>
      </c>
      <c r="J460" s="238" t="s">
        <v>493</v>
      </c>
      <c r="K460" s="238"/>
      <c r="L460" s="238" t="s">
        <v>24</v>
      </c>
      <c r="M460" s="238">
        <v>8</v>
      </c>
      <c r="N460" s="238">
        <v>24.66</v>
      </c>
      <c r="O460" s="238"/>
      <c r="P460" s="238">
        <v>6.85</v>
      </c>
      <c r="Q460" s="238"/>
      <c r="R460" s="238"/>
      <c r="S460" s="238"/>
      <c r="T460" s="238"/>
      <c r="U460" s="238">
        <v>10</v>
      </c>
      <c r="V460" s="238"/>
      <c r="W460" s="238"/>
      <c r="X460" s="238"/>
      <c r="Y460" s="238"/>
      <c r="Z460" s="238"/>
      <c r="AA460" s="238"/>
      <c r="AB460" s="238"/>
      <c r="AC460" s="238">
        <v>1.59</v>
      </c>
      <c r="AD460" s="238" t="s">
        <v>33</v>
      </c>
      <c r="AE460" s="238">
        <v>5</v>
      </c>
      <c r="AF460" s="238">
        <v>0.49249999999999999</v>
      </c>
      <c r="AG460" s="238">
        <v>4</v>
      </c>
      <c r="AH460" s="238">
        <v>98653</v>
      </c>
      <c r="AI460" s="238"/>
      <c r="AJ460" s="238"/>
      <c r="AK460" s="238" t="s">
        <v>769</v>
      </c>
      <c r="AL460" s="238" t="s">
        <v>597</v>
      </c>
      <c r="AM460" s="238">
        <v>427.65899999999999</v>
      </c>
      <c r="AN460" s="238"/>
      <c r="AO460" s="238" t="s">
        <v>356</v>
      </c>
      <c r="AP460" s="238"/>
      <c r="AQ460" s="238">
        <v>27404</v>
      </c>
      <c r="AR460" s="238"/>
      <c r="AS460" s="238"/>
      <c r="AT460" s="238"/>
      <c r="AU460" s="238"/>
      <c r="AV460" s="238"/>
      <c r="AW460" s="238">
        <v>17257.2</v>
      </c>
      <c r="AX460" s="238"/>
      <c r="AY460" s="238">
        <v>172572</v>
      </c>
      <c r="AZ460" s="238">
        <v>43143000</v>
      </c>
      <c r="BA460" s="238"/>
      <c r="BB460" s="238">
        <v>0.159</v>
      </c>
      <c r="BC460" s="238"/>
      <c r="BD460" s="238"/>
      <c r="BE460" s="238"/>
    </row>
    <row r="461" spans="1:57">
      <c r="A461" s="237" t="s">
        <v>785</v>
      </c>
      <c r="B461" s="237" t="s">
        <v>491</v>
      </c>
      <c r="C461" s="237">
        <v>2015</v>
      </c>
      <c r="D461" s="237"/>
      <c r="E461" s="237">
        <v>2015</v>
      </c>
      <c r="F461" s="237" t="s">
        <v>27</v>
      </c>
      <c r="G461" s="237" t="s">
        <v>492</v>
      </c>
      <c r="H461" s="237">
        <v>4</v>
      </c>
      <c r="I461" s="237">
        <v>1</v>
      </c>
      <c r="J461" s="237" t="s">
        <v>493</v>
      </c>
      <c r="K461" s="237"/>
      <c r="L461" s="237" t="s">
        <v>24</v>
      </c>
      <c r="M461" s="237">
        <v>8</v>
      </c>
      <c r="N461" s="237">
        <v>24.66</v>
      </c>
      <c r="O461" s="237"/>
      <c r="P461" s="237">
        <v>6.85</v>
      </c>
      <c r="Q461" s="237"/>
      <c r="R461" s="237"/>
      <c r="S461" s="237"/>
      <c r="T461" s="237"/>
      <c r="U461" s="237">
        <v>10</v>
      </c>
      <c r="V461" s="237"/>
      <c r="W461" s="237"/>
      <c r="X461" s="237"/>
      <c r="Y461" s="237"/>
      <c r="Z461" s="237"/>
      <c r="AA461" s="237"/>
      <c r="AB461" s="237"/>
      <c r="AC461" s="237">
        <v>1.4</v>
      </c>
      <c r="AD461" s="237" t="s">
        <v>33</v>
      </c>
      <c r="AE461" s="237">
        <v>5</v>
      </c>
      <c r="AF461" s="237">
        <v>0.56000000000000005</v>
      </c>
      <c r="AG461" s="237">
        <v>4</v>
      </c>
      <c r="AH461" s="237">
        <v>98653</v>
      </c>
      <c r="AI461" s="237"/>
      <c r="AJ461" s="237"/>
      <c r="AK461" s="237" t="s">
        <v>769</v>
      </c>
      <c r="AL461" s="237" t="s">
        <v>597</v>
      </c>
      <c r="AM461" s="237">
        <v>427.65899999999999</v>
      </c>
      <c r="AN461" s="237"/>
      <c r="AO461" s="237" t="s">
        <v>356</v>
      </c>
      <c r="AP461" s="237"/>
      <c r="AQ461" s="237">
        <v>27404</v>
      </c>
      <c r="AR461" s="237"/>
      <c r="AS461" s="237"/>
      <c r="AT461" s="237"/>
      <c r="AU461" s="237"/>
      <c r="AV461" s="237"/>
      <c r="AW461" s="237">
        <v>19622.400000000001</v>
      </c>
      <c r="AX461" s="237"/>
      <c r="AY461" s="237">
        <v>196224</v>
      </c>
      <c r="AZ461" s="237">
        <v>49056000</v>
      </c>
      <c r="BA461" s="237"/>
      <c r="BB461" s="237">
        <v>0.14000000000000001</v>
      </c>
      <c r="BC461" s="237"/>
      <c r="BD461" s="237"/>
      <c r="BE461" s="237"/>
    </row>
    <row r="462" spans="1:57">
      <c r="A462" s="238" t="s">
        <v>785</v>
      </c>
      <c r="B462" s="238" t="s">
        <v>491</v>
      </c>
      <c r="C462" s="238">
        <v>2015</v>
      </c>
      <c r="D462" s="238"/>
      <c r="E462" s="238">
        <v>2015</v>
      </c>
      <c r="F462" s="238" t="s">
        <v>27</v>
      </c>
      <c r="G462" s="238" t="s">
        <v>492</v>
      </c>
      <c r="H462" s="238">
        <v>4</v>
      </c>
      <c r="I462" s="238">
        <v>1</v>
      </c>
      <c r="J462" s="238" t="s">
        <v>493</v>
      </c>
      <c r="K462" s="238"/>
      <c r="L462" s="238" t="s">
        <v>24</v>
      </c>
      <c r="M462" s="238">
        <v>8</v>
      </c>
      <c r="N462" s="238">
        <v>24.66</v>
      </c>
      <c r="O462" s="238"/>
      <c r="P462" s="238">
        <v>6.85</v>
      </c>
      <c r="Q462" s="238"/>
      <c r="R462" s="238"/>
      <c r="S462" s="238"/>
      <c r="T462" s="238"/>
      <c r="U462" s="238">
        <v>10</v>
      </c>
      <c r="V462" s="238"/>
      <c r="W462" s="238"/>
      <c r="X462" s="238"/>
      <c r="Y462" s="238"/>
      <c r="Z462" s="238"/>
      <c r="AA462" s="238"/>
      <c r="AB462" s="238"/>
      <c r="AC462" s="238">
        <v>1.06</v>
      </c>
      <c r="AD462" s="238" t="s">
        <v>33</v>
      </c>
      <c r="AE462" s="238">
        <v>5</v>
      </c>
      <c r="AF462" s="238">
        <v>0.73750000000000004</v>
      </c>
      <c r="AG462" s="238">
        <v>4</v>
      </c>
      <c r="AH462" s="238">
        <v>98653</v>
      </c>
      <c r="AI462" s="238"/>
      <c r="AJ462" s="238"/>
      <c r="AK462" s="238" t="s">
        <v>769</v>
      </c>
      <c r="AL462" s="238" t="s">
        <v>597</v>
      </c>
      <c r="AM462" s="238">
        <v>427.65899999999999</v>
      </c>
      <c r="AN462" s="238"/>
      <c r="AO462" s="238" t="s">
        <v>356</v>
      </c>
      <c r="AP462" s="238"/>
      <c r="AQ462" s="238">
        <v>27404</v>
      </c>
      <c r="AR462" s="238"/>
      <c r="AS462" s="238"/>
      <c r="AT462" s="238"/>
      <c r="AU462" s="238"/>
      <c r="AV462" s="238"/>
      <c r="AW462" s="238">
        <v>25842</v>
      </c>
      <c r="AX462" s="238"/>
      <c r="AY462" s="238">
        <v>258420</v>
      </c>
      <c r="AZ462" s="238">
        <v>64605000</v>
      </c>
      <c r="BA462" s="238"/>
      <c r="BB462" s="238">
        <v>0.106</v>
      </c>
      <c r="BC462" s="238"/>
      <c r="BD462" s="238"/>
      <c r="BE462" s="238"/>
    </row>
    <row r="463" spans="1:57">
      <c r="A463" s="237" t="s">
        <v>748</v>
      </c>
      <c r="B463" s="237" t="s">
        <v>159</v>
      </c>
      <c r="C463" s="237">
        <v>2015</v>
      </c>
      <c r="D463" s="237"/>
      <c r="E463" s="237">
        <v>2015</v>
      </c>
      <c r="F463" s="237" t="s">
        <v>74</v>
      </c>
      <c r="G463" s="237" t="s">
        <v>160</v>
      </c>
      <c r="H463" s="237">
        <v>1650</v>
      </c>
      <c r="I463" s="237">
        <v>1</v>
      </c>
      <c r="J463" s="237" t="s">
        <v>495</v>
      </c>
      <c r="K463" s="237"/>
      <c r="L463" s="237" t="s">
        <v>24</v>
      </c>
      <c r="M463" s="237"/>
      <c r="N463" s="237">
        <v>9.98</v>
      </c>
      <c r="O463" s="237"/>
      <c r="P463" s="237">
        <v>2.77</v>
      </c>
      <c r="Q463" s="237"/>
      <c r="R463" s="237"/>
      <c r="S463" s="237"/>
      <c r="T463" s="237"/>
      <c r="U463" s="237">
        <v>20</v>
      </c>
      <c r="V463" s="237"/>
      <c r="W463" s="237"/>
      <c r="X463" s="237"/>
      <c r="Y463" s="237"/>
      <c r="Z463" s="237"/>
      <c r="AA463" s="237"/>
      <c r="AB463" s="237"/>
      <c r="AC463" s="237">
        <v>1.58</v>
      </c>
      <c r="AD463" s="237" t="s">
        <v>494</v>
      </c>
      <c r="AE463" s="237"/>
      <c r="AF463" s="237">
        <v>0.199944652</v>
      </c>
      <c r="AG463" s="237">
        <v>1650</v>
      </c>
      <c r="AH463" s="237">
        <v>16460000</v>
      </c>
      <c r="AI463" s="237"/>
      <c r="AJ463" s="237"/>
      <c r="AK463" s="237" t="s">
        <v>769</v>
      </c>
      <c r="AL463" s="237" t="s">
        <v>597</v>
      </c>
      <c r="AM463" s="237">
        <v>427.65899999999999</v>
      </c>
      <c r="AN463" s="237"/>
      <c r="AO463" s="237" t="s">
        <v>356</v>
      </c>
      <c r="AP463" s="237"/>
      <c r="AQ463" s="237">
        <v>4572222</v>
      </c>
      <c r="AR463" s="237"/>
      <c r="AS463" s="237"/>
      <c r="AT463" s="237"/>
      <c r="AU463" s="237"/>
      <c r="AV463" s="237"/>
      <c r="AW463" s="237">
        <v>2890000</v>
      </c>
      <c r="AX463" s="237"/>
      <c r="AY463" s="237">
        <v>57800000</v>
      </c>
      <c r="AZ463" s="237">
        <v>35030303.030303001</v>
      </c>
      <c r="BA463" s="237"/>
      <c r="BB463" s="237">
        <v>7.9000000000000001E-2</v>
      </c>
      <c r="BC463" s="237"/>
      <c r="BD463" s="237"/>
      <c r="BE463" s="237"/>
    </row>
    <row r="464" spans="1:57">
      <c r="A464" s="238" t="s">
        <v>784</v>
      </c>
      <c r="B464" s="238" t="s">
        <v>496</v>
      </c>
      <c r="C464" s="238">
        <v>2015</v>
      </c>
      <c r="D464" s="238"/>
      <c r="E464" s="238">
        <v>2015</v>
      </c>
      <c r="F464" s="238" t="s">
        <v>74</v>
      </c>
      <c r="G464" s="238" t="s">
        <v>287</v>
      </c>
      <c r="H464" s="238">
        <v>2000</v>
      </c>
      <c r="I464" s="238">
        <v>1</v>
      </c>
      <c r="J464" s="238" t="s">
        <v>497</v>
      </c>
      <c r="K464" s="238"/>
      <c r="L464" s="238" t="s">
        <v>24</v>
      </c>
      <c r="M464" s="238">
        <v>78</v>
      </c>
      <c r="N464" s="238">
        <v>14.13</v>
      </c>
      <c r="O464" s="238"/>
      <c r="P464" s="238">
        <v>3.92</v>
      </c>
      <c r="Q464" s="238"/>
      <c r="R464" s="238"/>
      <c r="S464" s="238"/>
      <c r="T464" s="238"/>
      <c r="U464" s="238">
        <v>20</v>
      </c>
      <c r="V464" s="238"/>
      <c r="W464" s="238"/>
      <c r="X464" s="238"/>
      <c r="Y464" s="238"/>
      <c r="Z464" s="238"/>
      <c r="AA464" s="238"/>
      <c r="AB464" s="238"/>
      <c r="AC464" s="238">
        <v>1.39</v>
      </c>
      <c r="AD464" s="238" t="s">
        <v>267</v>
      </c>
      <c r="AE464" s="238"/>
      <c r="AF464" s="238">
        <v>0.32248858400000002</v>
      </c>
      <c r="AG464" s="238">
        <v>2000</v>
      </c>
      <c r="AH464" s="238">
        <v>28250000</v>
      </c>
      <c r="AI464" s="238"/>
      <c r="AJ464" s="238"/>
      <c r="AK464" s="238" t="s">
        <v>769</v>
      </c>
      <c r="AL464" s="238" t="s">
        <v>597</v>
      </c>
      <c r="AM464" s="238">
        <v>427.65899999999999</v>
      </c>
      <c r="AN464" s="238"/>
      <c r="AO464" s="238" t="s">
        <v>356</v>
      </c>
      <c r="AP464" s="238"/>
      <c r="AQ464" s="238">
        <v>7847222</v>
      </c>
      <c r="AR464" s="238"/>
      <c r="AS464" s="238"/>
      <c r="AT464" s="238"/>
      <c r="AU464" s="238"/>
      <c r="AV464" s="238"/>
      <c r="AW464" s="238">
        <v>5650000</v>
      </c>
      <c r="AX464" s="238"/>
      <c r="AY464" s="238">
        <v>113000000</v>
      </c>
      <c r="AZ464" s="238">
        <v>56500000</v>
      </c>
      <c r="BA464" s="238"/>
      <c r="BB464" s="238">
        <v>6.9000000000000006E-2</v>
      </c>
      <c r="BC464" s="238"/>
      <c r="BD464" s="238"/>
      <c r="BE464" s="238"/>
    </row>
    <row r="465" spans="1:57">
      <c r="A465" s="237" t="s">
        <v>784</v>
      </c>
      <c r="B465" s="237" t="s">
        <v>496</v>
      </c>
      <c r="C465" s="237">
        <v>2015</v>
      </c>
      <c r="D465" s="237"/>
      <c r="E465" s="237">
        <v>2015</v>
      </c>
      <c r="F465" s="237" t="s">
        <v>74</v>
      </c>
      <c r="G465" s="237" t="s">
        <v>287</v>
      </c>
      <c r="H465" s="237">
        <v>2000</v>
      </c>
      <c r="I465" s="237">
        <v>1</v>
      </c>
      <c r="J465" s="237" t="s">
        <v>497</v>
      </c>
      <c r="K465" s="237"/>
      <c r="L465" s="237" t="s">
        <v>31</v>
      </c>
      <c r="M465" s="237">
        <v>60</v>
      </c>
      <c r="N465" s="237">
        <v>10.53</v>
      </c>
      <c r="O465" s="237"/>
      <c r="P465" s="237">
        <v>2.93</v>
      </c>
      <c r="Q465" s="237"/>
      <c r="R465" s="237"/>
      <c r="S465" s="237"/>
      <c r="T465" s="237"/>
      <c r="U465" s="237">
        <v>20</v>
      </c>
      <c r="V465" s="237"/>
      <c r="W465" s="237"/>
      <c r="X465" s="237"/>
      <c r="Y465" s="237"/>
      <c r="Z465" s="237"/>
      <c r="AA465" s="237"/>
      <c r="AB465" s="237"/>
      <c r="AC465" s="237">
        <v>0.72</v>
      </c>
      <c r="AD465" s="237" t="s">
        <v>267</v>
      </c>
      <c r="AE465" s="237"/>
      <c r="AF465" s="237">
        <v>0.46232876699999997</v>
      </c>
      <c r="AG465" s="237">
        <v>2000</v>
      </c>
      <c r="AH465" s="237">
        <v>21060000</v>
      </c>
      <c r="AI465" s="237"/>
      <c r="AJ465" s="237"/>
      <c r="AK465" s="237" t="s">
        <v>769</v>
      </c>
      <c r="AL465" s="237" t="s">
        <v>597</v>
      </c>
      <c r="AM465" s="237">
        <v>427.65899999999999</v>
      </c>
      <c r="AN465" s="237"/>
      <c r="AO465" s="237" t="s">
        <v>356</v>
      </c>
      <c r="AP465" s="237"/>
      <c r="AQ465" s="237">
        <v>5850000</v>
      </c>
      <c r="AR465" s="237"/>
      <c r="AS465" s="237"/>
      <c r="AT465" s="237"/>
      <c r="AU465" s="237"/>
      <c r="AV465" s="237"/>
      <c r="AW465" s="237">
        <v>8100000</v>
      </c>
      <c r="AX465" s="237"/>
      <c r="AY465" s="237">
        <v>162000000</v>
      </c>
      <c r="AZ465" s="237">
        <v>81000000</v>
      </c>
      <c r="BA465" s="237"/>
      <c r="BB465" s="237">
        <v>3.5999999999999997E-2</v>
      </c>
      <c r="BC465" s="237"/>
      <c r="BD465" s="237"/>
      <c r="BE465" s="237"/>
    </row>
    <row r="466" spans="1:57">
      <c r="A466" s="238" t="s">
        <v>784</v>
      </c>
      <c r="B466" s="238" t="s">
        <v>496</v>
      </c>
      <c r="C466" s="238">
        <v>2015</v>
      </c>
      <c r="D466" s="238"/>
      <c r="E466" s="238">
        <v>2015</v>
      </c>
      <c r="F466" s="238" t="s">
        <v>74</v>
      </c>
      <c r="G466" s="238" t="s">
        <v>287</v>
      </c>
      <c r="H466" s="238">
        <v>3000</v>
      </c>
      <c r="I466" s="238">
        <v>1</v>
      </c>
      <c r="J466" s="238" t="s">
        <v>498</v>
      </c>
      <c r="K466" s="238"/>
      <c r="L466" s="238" t="s">
        <v>24</v>
      </c>
      <c r="M466" s="238">
        <v>105</v>
      </c>
      <c r="N466" s="238">
        <v>12.11</v>
      </c>
      <c r="O466" s="238"/>
      <c r="P466" s="238">
        <v>3.36</v>
      </c>
      <c r="Q466" s="238"/>
      <c r="R466" s="238"/>
      <c r="S466" s="238"/>
      <c r="T466" s="238"/>
      <c r="U466" s="238">
        <v>20</v>
      </c>
      <c r="V466" s="238"/>
      <c r="W466" s="238"/>
      <c r="X466" s="238"/>
      <c r="Y466" s="238"/>
      <c r="Z466" s="238"/>
      <c r="AA466" s="238"/>
      <c r="AB466" s="238"/>
      <c r="AC466" s="238">
        <v>1.28</v>
      </c>
      <c r="AD466" s="238" t="s">
        <v>267</v>
      </c>
      <c r="AE466" s="238"/>
      <c r="AF466" s="238">
        <v>0.30060882799999999</v>
      </c>
      <c r="AG466" s="238">
        <v>3000</v>
      </c>
      <c r="AH466" s="238">
        <v>36340000</v>
      </c>
      <c r="AI466" s="238"/>
      <c r="AJ466" s="238"/>
      <c r="AK466" s="238" t="s">
        <v>769</v>
      </c>
      <c r="AL466" s="238" t="s">
        <v>597</v>
      </c>
      <c r="AM466" s="238">
        <v>427.65899999999999</v>
      </c>
      <c r="AN466" s="238"/>
      <c r="AO466" s="238" t="s">
        <v>356</v>
      </c>
      <c r="AP466" s="238"/>
      <c r="AQ466" s="238">
        <v>10094444</v>
      </c>
      <c r="AR466" s="238"/>
      <c r="AS466" s="238"/>
      <c r="AT466" s="238"/>
      <c r="AU466" s="238"/>
      <c r="AV466" s="238"/>
      <c r="AW466" s="238">
        <v>7900000</v>
      </c>
      <c r="AX466" s="238"/>
      <c r="AY466" s="238">
        <v>158000000</v>
      </c>
      <c r="AZ466" s="238">
        <v>52666666.666666701</v>
      </c>
      <c r="BA466" s="238"/>
      <c r="BB466" s="238">
        <v>6.4000000000000001E-2</v>
      </c>
      <c r="BC466" s="238"/>
      <c r="BD466" s="238"/>
      <c r="BE466" s="238"/>
    </row>
    <row r="467" spans="1:57">
      <c r="A467" s="237" t="s">
        <v>784</v>
      </c>
      <c r="B467" s="237" t="s">
        <v>496</v>
      </c>
      <c r="C467" s="237">
        <v>2015</v>
      </c>
      <c r="D467" s="237"/>
      <c r="E467" s="237">
        <v>2015</v>
      </c>
      <c r="F467" s="237" t="s">
        <v>74</v>
      </c>
      <c r="G467" s="237" t="s">
        <v>287</v>
      </c>
      <c r="H467" s="237">
        <v>3000</v>
      </c>
      <c r="I467" s="237">
        <v>1</v>
      </c>
      <c r="J467" s="237" t="s">
        <v>498</v>
      </c>
      <c r="K467" s="237"/>
      <c r="L467" s="237" t="s">
        <v>31</v>
      </c>
      <c r="M467" s="237">
        <v>80</v>
      </c>
      <c r="N467" s="237">
        <v>9.15</v>
      </c>
      <c r="O467" s="237"/>
      <c r="P467" s="237">
        <v>2.54</v>
      </c>
      <c r="Q467" s="237"/>
      <c r="R467" s="237"/>
      <c r="S467" s="237"/>
      <c r="T467" s="237"/>
      <c r="U467" s="237">
        <v>20</v>
      </c>
      <c r="V467" s="237"/>
      <c r="W467" s="237"/>
      <c r="X467" s="237"/>
      <c r="Y467" s="237"/>
      <c r="Z467" s="237"/>
      <c r="AA467" s="237"/>
      <c r="AB467" s="237"/>
      <c r="AC467" s="237">
        <v>0.54</v>
      </c>
      <c r="AD467" s="237" t="s">
        <v>267</v>
      </c>
      <c r="AE467" s="237"/>
      <c r="AF467" s="237">
        <v>0.53272450500000001</v>
      </c>
      <c r="AG467" s="237">
        <v>3000</v>
      </c>
      <c r="AH467" s="237">
        <v>27440000</v>
      </c>
      <c r="AI467" s="237"/>
      <c r="AJ467" s="237"/>
      <c r="AK467" s="237" t="s">
        <v>769</v>
      </c>
      <c r="AL467" s="237" t="s">
        <v>597</v>
      </c>
      <c r="AM467" s="237">
        <v>427.65899999999999</v>
      </c>
      <c r="AN467" s="237"/>
      <c r="AO467" s="237" t="s">
        <v>356</v>
      </c>
      <c r="AP467" s="237"/>
      <c r="AQ467" s="237">
        <v>7622222</v>
      </c>
      <c r="AR467" s="237"/>
      <c r="AS467" s="237"/>
      <c r="AT467" s="237"/>
      <c r="AU467" s="237"/>
      <c r="AV467" s="237"/>
      <c r="AW467" s="237">
        <v>14000000</v>
      </c>
      <c r="AX467" s="237"/>
      <c r="AY467" s="237">
        <v>280000000</v>
      </c>
      <c r="AZ467" s="237">
        <v>93333333.333333299</v>
      </c>
      <c r="BA467" s="237"/>
      <c r="BB467" s="237">
        <v>2.7E-2</v>
      </c>
      <c r="BC467" s="237"/>
      <c r="BD467" s="237"/>
      <c r="BE467" s="237"/>
    </row>
    <row r="468" spans="1:57">
      <c r="A468" s="238" t="s">
        <v>734</v>
      </c>
      <c r="B468" s="238" t="s">
        <v>232</v>
      </c>
      <c r="C468" s="238">
        <v>2015</v>
      </c>
      <c r="D468" s="238"/>
      <c r="E468" s="238">
        <v>2015</v>
      </c>
      <c r="F468" s="238" t="s">
        <v>27</v>
      </c>
      <c r="G468" s="238" t="s">
        <v>233</v>
      </c>
      <c r="H468" s="238">
        <v>2000</v>
      </c>
      <c r="I468" s="238">
        <v>1</v>
      </c>
      <c r="J468" s="238"/>
      <c r="K468" s="238"/>
      <c r="L468" s="238" t="s">
        <v>24</v>
      </c>
      <c r="M468" s="238"/>
      <c r="N468" s="238">
        <v>0.67</v>
      </c>
      <c r="O468" s="238"/>
      <c r="P468" s="238">
        <v>0.19</v>
      </c>
      <c r="Q468" s="238"/>
      <c r="R468" s="238"/>
      <c r="S468" s="238"/>
      <c r="T468" s="238"/>
      <c r="U468" s="238">
        <v>20</v>
      </c>
      <c r="V468" s="238"/>
      <c r="W468" s="238"/>
      <c r="X468" s="238"/>
      <c r="Y468" s="238"/>
      <c r="Z468" s="238"/>
      <c r="AA468" s="238"/>
      <c r="AB468" s="238"/>
      <c r="AC468" s="238"/>
      <c r="AD468" s="238" t="s">
        <v>520</v>
      </c>
      <c r="AE468" s="238">
        <v>80</v>
      </c>
      <c r="AF468" s="238"/>
      <c r="AG468" s="238">
        <v>2000</v>
      </c>
      <c r="AH468" s="238">
        <v>1341396</v>
      </c>
      <c r="AI468" s="238"/>
      <c r="AJ468" s="238"/>
      <c r="AK468" s="238" t="s">
        <v>769</v>
      </c>
      <c r="AL468" s="238" t="s">
        <v>597</v>
      </c>
      <c r="AM468" s="238">
        <v>427.65899999999999</v>
      </c>
      <c r="AN468" s="238"/>
      <c r="AO468" s="238" t="s">
        <v>356</v>
      </c>
      <c r="AP468" s="238"/>
      <c r="AQ468" s="238">
        <v>372610</v>
      </c>
      <c r="AR468" s="238"/>
      <c r="AS468" s="238"/>
      <c r="AT468" s="238"/>
      <c r="AU468" s="238"/>
      <c r="AV468" s="238"/>
      <c r="AW468" s="238"/>
      <c r="AX468" s="238"/>
      <c r="AY468" s="238"/>
      <c r="AZ468" s="238"/>
      <c r="BA468" s="238"/>
      <c r="BB468" s="238"/>
      <c r="BC468" s="238"/>
      <c r="BD468" s="238"/>
      <c r="BE468" s="238"/>
    </row>
    <row r="469" spans="1:57">
      <c r="A469" s="237" t="s">
        <v>734</v>
      </c>
      <c r="B469" s="237" t="s">
        <v>232</v>
      </c>
      <c r="C469" s="237">
        <v>2015</v>
      </c>
      <c r="D469" s="237"/>
      <c r="E469" s="237">
        <v>2015</v>
      </c>
      <c r="F469" s="237" t="s">
        <v>27</v>
      </c>
      <c r="G469" s="237" t="s">
        <v>233</v>
      </c>
      <c r="H469" s="237">
        <v>2000</v>
      </c>
      <c r="I469" s="237">
        <v>1</v>
      </c>
      <c r="J469" s="237"/>
      <c r="K469" s="237"/>
      <c r="L469" s="237" t="s">
        <v>24</v>
      </c>
      <c r="M469" s="237"/>
      <c r="N469" s="237">
        <v>0.93</v>
      </c>
      <c r="O469" s="237"/>
      <c r="P469" s="237">
        <v>0.26</v>
      </c>
      <c r="Q469" s="237"/>
      <c r="R469" s="237"/>
      <c r="S469" s="237"/>
      <c r="T469" s="237"/>
      <c r="U469" s="237">
        <v>20</v>
      </c>
      <c r="V469" s="237"/>
      <c r="W469" s="237"/>
      <c r="X469" s="237"/>
      <c r="Y469" s="237"/>
      <c r="Z469" s="237"/>
      <c r="AA469" s="237"/>
      <c r="AB469" s="237"/>
      <c r="AC469" s="237"/>
      <c r="AD469" s="237" t="s">
        <v>520</v>
      </c>
      <c r="AE469" s="237">
        <v>80</v>
      </c>
      <c r="AF469" s="237"/>
      <c r="AG469" s="237">
        <v>2000</v>
      </c>
      <c r="AH469" s="237">
        <v>1862136</v>
      </c>
      <c r="AI469" s="237"/>
      <c r="AJ469" s="237"/>
      <c r="AK469" s="237" t="s">
        <v>769</v>
      </c>
      <c r="AL469" s="237" t="s">
        <v>597</v>
      </c>
      <c r="AM469" s="237">
        <v>427.65899999999999</v>
      </c>
      <c r="AN469" s="237"/>
      <c r="AO469" s="237" t="s">
        <v>356</v>
      </c>
      <c r="AP469" s="237"/>
      <c r="AQ469" s="237">
        <v>517260</v>
      </c>
      <c r="AR469" s="237"/>
      <c r="AS469" s="237"/>
      <c r="AT469" s="237"/>
      <c r="AU469" s="237"/>
      <c r="AV469" s="237"/>
      <c r="AW469" s="237"/>
      <c r="AX469" s="237"/>
      <c r="AY469" s="237"/>
      <c r="AZ469" s="237"/>
      <c r="BA469" s="237"/>
      <c r="BB469" s="237"/>
      <c r="BC469" s="237"/>
      <c r="BD469" s="237"/>
      <c r="BE469" s="237"/>
    </row>
    <row r="470" spans="1:57">
      <c r="A470" s="237" t="s">
        <v>774</v>
      </c>
      <c r="B470" s="237" t="s">
        <v>399</v>
      </c>
      <c r="C470" s="237">
        <v>2015</v>
      </c>
      <c r="D470" s="237"/>
      <c r="E470" s="237">
        <v>2015</v>
      </c>
      <c r="F470" s="237" t="s">
        <v>27</v>
      </c>
      <c r="G470" s="237" t="s">
        <v>224</v>
      </c>
      <c r="H470" s="237">
        <v>2000</v>
      </c>
      <c r="I470" s="237">
        <v>25</v>
      </c>
      <c r="J470" s="237" t="s">
        <v>526</v>
      </c>
      <c r="K470" s="237"/>
      <c r="L470" s="237" t="s">
        <v>24</v>
      </c>
      <c r="M470" s="237">
        <v>80</v>
      </c>
      <c r="N470" s="237">
        <v>7.56</v>
      </c>
      <c r="O470" s="237"/>
      <c r="P470" s="237">
        <v>2.1</v>
      </c>
      <c r="Q470" s="237"/>
      <c r="R470" s="237"/>
      <c r="S470" s="237"/>
      <c r="T470" s="237"/>
      <c r="U470" s="237">
        <v>20</v>
      </c>
      <c r="V470" s="237"/>
      <c r="W470" s="237"/>
      <c r="X470" s="237"/>
      <c r="Y470" s="237"/>
      <c r="Z470" s="237"/>
      <c r="AA470" s="237"/>
      <c r="AB470" s="237"/>
      <c r="AC470" s="237">
        <v>0.5</v>
      </c>
      <c r="AD470" s="237" t="s">
        <v>464</v>
      </c>
      <c r="AE470" s="237">
        <v>100</v>
      </c>
      <c r="AF470" s="237">
        <v>0.47945205499999999</v>
      </c>
      <c r="AG470" s="237">
        <v>50000</v>
      </c>
      <c r="AH470" s="237">
        <v>378000000</v>
      </c>
      <c r="AI470" s="237"/>
      <c r="AJ470" s="237"/>
      <c r="AK470" s="237" t="s">
        <v>769</v>
      </c>
      <c r="AL470" s="237" t="s">
        <v>597</v>
      </c>
      <c r="AM470" s="237">
        <v>427.65899999999999</v>
      </c>
      <c r="AN470" s="237"/>
      <c r="AO470" s="237" t="s">
        <v>356</v>
      </c>
      <c r="AP470" s="237"/>
      <c r="AQ470" s="237">
        <v>105000000</v>
      </c>
      <c r="AR470" s="237"/>
      <c r="AS470" s="237"/>
      <c r="AT470" s="237"/>
      <c r="AU470" s="237"/>
      <c r="AV470" s="237"/>
      <c r="AW470" s="237">
        <v>210000000</v>
      </c>
      <c r="AX470" s="237"/>
      <c r="AY470" s="237">
        <v>4200000000</v>
      </c>
      <c r="AZ470" s="237">
        <v>84000000</v>
      </c>
      <c r="BA470" s="237"/>
      <c r="BB470" s="237">
        <v>2.5000000000000001E-2</v>
      </c>
      <c r="BC470" s="237"/>
      <c r="BD470" s="237"/>
      <c r="BE470" s="237"/>
    </row>
    <row r="471" spans="1:57">
      <c r="A471" s="238" t="s">
        <v>773</v>
      </c>
      <c r="B471" s="238" t="s">
        <v>399</v>
      </c>
      <c r="C471" s="238">
        <v>2015</v>
      </c>
      <c r="D471" s="238"/>
      <c r="E471" s="238">
        <v>2015</v>
      </c>
      <c r="F471" s="238" t="s">
        <v>27</v>
      </c>
      <c r="G471" s="238" t="s">
        <v>224</v>
      </c>
      <c r="H471" s="238">
        <v>3300</v>
      </c>
      <c r="I471" s="238">
        <v>30</v>
      </c>
      <c r="J471" s="238" t="s">
        <v>527</v>
      </c>
      <c r="K471" s="238"/>
      <c r="L471" s="238" t="s">
        <v>24</v>
      </c>
      <c r="M471" s="238">
        <v>84</v>
      </c>
      <c r="N471" s="238">
        <v>5.74</v>
      </c>
      <c r="O471" s="238"/>
      <c r="P471" s="238">
        <v>1.59</v>
      </c>
      <c r="Q471" s="238"/>
      <c r="R471" s="238"/>
      <c r="S471" s="238"/>
      <c r="T471" s="238"/>
      <c r="U471" s="238">
        <v>20</v>
      </c>
      <c r="V471" s="238"/>
      <c r="W471" s="238"/>
      <c r="X471" s="238"/>
      <c r="Y471" s="238"/>
      <c r="Z471" s="238"/>
      <c r="AA471" s="238"/>
      <c r="AB471" s="238"/>
      <c r="AC471" s="238">
        <v>0.44</v>
      </c>
      <c r="AD471" s="238" t="s">
        <v>464</v>
      </c>
      <c r="AE471" s="238">
        <v>112</v>
      </c>
      <c r="AF471" s="238">
        <v>0.409229279</v>
      </c>
      <c r="AG471" s="238">
        <v>99000</v>
      </c>
      <c r="AH471" s="238">
        <v>567840000</v>
      </c>
      <c r="AI471" s="238"/>
      <c r="AJ471" s="238"/>
      <c r="AK471" s="238" t="s">
        <v>769</v>
      </c>
      <c r="AL471" s="238" t="s">
        <v>597</v>
      </c>
      <c r="AM471" s="238">
        <v>427.65899999999999</v>
      </c>
      <c r="AN471" s="238"/>
      <c r="AO471" s="238" t="s">
        <v>356</v>
      </c>
      <c r="AP471" s="238"/>
      <c r="AQ471" s="238">
        <v>157733333</v>
      </c>
      <c r="AR471" s="238"/>
      <c r="AS471" s="238"/>
      <c r="AT471" s="238"/>
      <c r="AU471" s="238"/>
      <c r="AV471" s="238"/>
      <c r="AW471" s="238">
        <v>354900000</v>
      </c>
      <c r="AX471" s="238"/>
      <c r="AY471" s="238">
        <v>7098000000</v>
      </c>
      <c r="AZ471" s="238">
        <v>71696969.696969703</v>
      </c>
      <c r="BA471" s="238"/>
      <c r="BB471" s="238">
        <v>2.1999999999999999E-2</v>
      </c>
      <c r="BC471" s="238"/>
      <c r="BD471" s="238"/>
      <c r="BE471" s="238"/>
    </row>
    <row r="472" spans="1:57">
      <c r="A472" t="s">
        <v>765</v>
      </c>
      <c r="B472" t="s">
        <v>42</v>
      </c>
      <c r="C472">
        <v>2015</v>
      </c>
      <c r="E472">
        <v>2015</v>
      </c>
      <c r="F472" t="s">
        <v>27</v>
      </c>
      <c r="G472" t="s">
        <v>19</v>
      </c>
      <c r="H472">
        <v>1250</v>
      </c>
      <c r="I472">
        <v>24</v>
      </c>
      <c r="L472" t="s">
        <v>24</v>
      </c>
      <c r="U472">
        <v>20</v>
      </c>
      <c r="AB472" t="s">
        <v>43</v>
      </c>
      <c r="AD472" t="s">
        <v>33</v>
      </c>
      <c r="AF472">
        <v>0.375</v>
      </c>
      <c r="AG472">
        <v>30000</v>
      </c>
      <c r="AK472" t="s">
        <v>709</v>
      </c>
      <c r="AL472" t="s">
        <v>597</v>
      </c>
      <c r="AM472">
        <v>427.65899999999999</v>
      </c>
      <c r="AO472" t="s">
        <v>20</v>
      </c>
      <c r="AW472">
        <v>98550000</v>
      </c>
      <c r="AY472">
        <v>2208000000</v>
      </c>
      <c r="AZ472">
        <v>73600000</v>
      </c>
      <c r="BD472">
        <v>26</v>
      </c>
      <c r="BE472">
        <v>3</v>
      </c>
    </row>
    <row r="473" spans="1:57">
      <c r="A473" t="s">
        <v>758</v>
      </c>
      <c r="B473" t="s">
        <v>121</v>
      </c>
      <c r="C473">
        <v>2015</v>
      </c>
      <c r="E473">
        <v>2015</v>
      </c>
      <c r="F473" t="s">
        <v>27</v>
      </c>
      <c r="H473">
        <v>2000</v>
      </c>
      <c r="I473">
        <v>1</v>
      </c>
      <c r="J473" t="s">
        <v>122</v>
      </c>
      <c r="L473" t="s">
        <v>24</v>
      </c>
      <c r="M473">
        <v>70</v>
      </c>
      <c r="Q473">
        <v>518000</v>
      </c>
      <c r="S473">
        <v>0.26</v>
      </c>
      <c r="U473">
        <v>20</v>
      </c>
      <c r="AB473" t="s">
        <v>123</v>
      </c>
      <c r="AD473" t="s">
        <v>33</v>
      </c>
      <c r="AE473">
        <v>80</v>
      </c>
      <c r="AF473">
        <v>0.228310502</v>
      </c>
      <c r="AG473">
        <v>2000</v>
      </c>
      <c r="AK473" t="s">
        <v>709</v>
      </c>
      <c r="AL473" t="s">
        <v>597</v>
      </c>
      <c r="AM473">
        <v>427.65899999999999</v>
      </c>
      <c r="AW473">
        <v>4000000</v>
      </c>
      <c r="AY473">
        <v>80000000</v>
      </c>
      <c r="AZ473">
        <v>40000000</v>
      </c>
      <c r="BD473">
        <v>6.48</v>
      </c>
    </row>
    <row r="474" spans="1:57">
      <c r="A474" t="s">
        <v>758</v>
      </c>
      <c r="B474" t="s">
        <v>121</v>
      </c>
      <c r="C474">
        <v>2015</v>
      </c>
      <c r="E474">
        <v>2015</v>
      </c>
      <c r="F474" t="s">
        <v>27</v>
      </c>
      <c r="H474">
        <v>2000</v>
      </c>
      <c r="I474">
        <v>1</v>
      </c>
      <c r="J474" t="s">
        <v>122</v>
      </c>
      <c r="L474" t="s">
        <v>24</v>
      </c>
      <c r="M474">
        <v>70</v>
      </c>
      <c r="N474">
        <v>4.03</v>
      </c>
      <c r="P474">
        <v>1.1200000000000001</v>
      </c>
      <c r="Q474">
        <v>520000</v>
      </c>
      <c r="S474">
        <v>0.26</v>
      </c>
      <c r="U474">
        <v>20</v>
      </c>
      <c r="Z474">
        <v>0.1</v>
      </c>
      <c r="AB474" t="s">
        <v>124</v>
      </c>
      <c r="AD474" t="s">
        <v>33</v>
      </c>
      <c r="AE474">
        <v>80</v>
      </c>
      <c r="AF474">
        <v>0.228310502</v>
      </c>
      <c r="AG474">
        <v>2000</v>
      </c>
      <c r="AH474">
        <v>8060000</v>
      </c>
      <c r="AK474" t="s">
        <v>709</v>
      </c>
      <c r="AL474" t="s">
        <v>597</v>
      </c>
      <c r="AM474">
        <v>427.65899999999999</v>
      </c>
      <c r="AQ474">
        <v>2238889</v>
      </c>
      <c r="AS474">
        <v>671666.7</v>
      </c>
      <c r="AU474">
        <v>0.01</v>
      </c>
      <c r="AW474">
        <v>4000000</v>
      </c>
      <c r="AY474">
        <v>80000000</v>
      </c>
      <c r="AZ474">
        <v>40000000</v>
      </c>
      <c r="BB474">
        <v>0.03</v>
      </c>
      <c r="BD474">
        <v>6.5</v>
      </c>
    </row>
    <row r="475" spans="1:57">
      <c r="A475" t="s">
        <v>758</v>
      </c>
      <c r="B475" t="s">
        <v>121</v>
      </c>
      <c r="C475">
        <v>2015</v>
      </c>
      <c r="E475">
        <v>2015</v>
      </c>
      <c r="F475" t="s">
        <v>27</v>
      </c>
      <c r="H475">
        <v>2000</v>
      </c>
      <c r="I475">
        <v>1</v>
      </c>
      <c r="J475" t="s">
        <v>122</v>
      </c>
      <c r="L475" t="s">
        <v>24</v>
      </c>
      <c r="M475">
        <v>70</v>
      </c>
      <c r="Q475">
        <v>523000</v>
      </c>
      <c r="S475">
        <v>0.26</v>
      </c>
      <c r="U475">
        <v>20</v>
      </c>
      <c r="AB475" t="s">
        <v>125</v>
      </c>
      <c r="AD475" t="s">
        <v>33</v>
      </c>
      <c r="AE475">
        <v>80</v>
      </c>
      <c r="AF475">
        <v>0.228310502</v>
      </c>
      <c r="AG475">
        <v>2000</v>
      </c>
      <c r="AK475" t="s">
        <v>709</v>
      </c>
      <c r="AL475" t="s">
        <v>597</v>
      </c>
      <c r="AM475">
        <v>427.65899999999999</v>
      </c>
      <c r="AW475">
        <v>4000000</v>
      </c>
      <c r="AY475">
        <v>80000000</v>
      </c>
      <c r="AZ475">
        <v>40000000</v>
      </c>
      <c r="BD475">
        <v>6.54</v>
      </c>
    </row>
    <row r="476" spans="1:57">
      <c r="A476" t="s">
        <v>758</v>
      </c>
      <c r="B476" t="s">
        <v>121</v>
      </c>
      <c r="C476">
        <v>2015</v>
      </c>
      <c r="E476">
        <v>2015</v>
      </c>
      <c r="F476" t="s">
        <v>27</v>
      </c>
      <c r="H476">
        <v>2000</v>
      </c>
      <c r="I476">
        <v>1</v>
      </c>
      <c r="J476" t="s">
        <v>122</v>
      </c>
      <c r="L476" t="s">
        <v>24</v>
      </c>
      <c r="M476">
        <v>70</v>
      </c>
      <c r="Q476">
        <v>496000</v>
      </c>
      <c r="S476">
        <v>0.25</v>
      </c>
      <c r="U476">
        <v>20</v>
      </c>
      <c r="AB476" t="s">
        <v>126</v>
      </c>
      <c r="AD476" t="s">
        <v>33</v>
      </c>
      <c r="AE476">
        <v>80</v>
      </c>
      <c r="AF476">
        <v>0.228310502</v>
      </c>
      <c r="AG476">
        <v>2000</v>
      </c>
      <c r="AK476" t="s">
        <v>709</v>
      </c>
      <c r="AL476" t="s">
        <v>597</v>
      </c>
      <c r="AM476">
        <v>427.65899999999999</v>
      </c>
      <c r="AW476">
        <v>4000000</v>
      </c>
      <c r="AY476">
        <v>80000000</v>
      </c>
      <c r="AZ476">
        <v>40000000</v>
      </c>
      <c r="BD476">
        <v>6.2</v>
      </c>
    </row>
    <row r="477" spans="1:57">
      <c r="A477" t="s">
        <v>758</v>
      </c>
      <c r="B477" t="s">
        <v>121</v>
      </c>
      <c r="C477">
        <v>2015</v>
      </c>
      <c r="E477">
        <v>2015</v>
      </c>
      <c r="F477" t="s">
        <v>27</v>
      </c>
      <c r="H477">
        <v>2000</v>
      </c>
      <c r="I477">
        <v>1</v>
      </c>
      <c r="J477" t="s">
        <v>122</v>
      </c>
      <c r="L477" t="s">
        <v>24</v>
      </c>
      <c r="M477">
        <v>70</v>
      </c>
      <c r="Q477">
        <v>19400</v>
      </c>
      <c r="S477">
        <v>0.01</v>
      </c>
      <c r="U477">
        <v>20</v>
      </c>
      <c r="AB477" t="s">
        <v>127</v>
      </c>
      <c r="AD477" t="s">
        <v>33</v>
      </c>
      <c r="AE477">
        <v>80</v>
      </c>
      <c r="AF477">
        <v>0.228310502</v>
      </c>
      <c r="AG477">
        <v>2000</v>
      </c>
      <c r="AK477" t="s">
        <v>709</v>
      </c>
      <c r="AL477" t="s">
        <v>597</v>
      </c>
      <c r="AM477">
        <v>427.65899999999999</v>
      </c>
      <c r="AW477">
        <v>4000000</v>
      </c>
      <c r="AY477">
        <v>80000000</v>
      </c>
      <c r="AZ477">
        <v>40000000</v>
      </c>
      <c r="BD477">
        <v>0.24</v>
      </c>
    </row>
    <row r="478" spans="1:57">
      <c r="A478" t="s">
        <v>756</v>
      </c>
      <c r="B478" t="s">
        <v>132</v>
      </c>
      <c r="C478">
        <v>2015</v>
      </c>
      <c r="E478">
        <v>2015</v>
      </c>
      <c r="F478" t="s">
        <v>27</v>
      </c>
      <c r="H478">
        <v>5</v>
      </c>
      <c r="I478">
        <v>1</v>
      </c>
      <c r="J478" t="s">
        <v>133</v>
      </c>
      <c r="L478" t="s">
        <v>24</v>
      </c>
      <c r="Q478">
        <v>54400</v>
      </c>
      <c r="S478">
        <v>10.88</v>
      </c>
      <c r="AD478" t="s">
        <v>33</v>
      </c>
      <c r="AG478">
        <v>5</v>
      </c>
      <c r="AK478" t="s">
        <v>709</v>
      </c>
      <c r="AL478" t="s">
        <v>597</v>
      </c>
      <c r="AM478">
        <v>427.65899999999999</v>
      </c>
    </row>
    <row r="479" spans="1:57">
      <c r="A479" t="s">
        <v>748</v>
      </c>
      <c r="B479" t="s">
        <v>159</v>
      </c>
      <c r="C479">
        <v>2015</v>
      </c>
      <c r="E479">
        <v>2015</v>
      </c>
      <c r="F479" t="s">
        <v>74</v>
      </c>
      <c r="G479" t="s">
        <v>160</v>
      </c>
      <c r="H479">
        <v>1650</v>
      </c>
      <c r="I479">
        <v>1</v>
      </c>
      <c r="J479" t="s">
        <v>161</v>
      </c>
      <c r="L479" t="s">
        <v>24</v>
      </c>
      <c r="N479">
        <v>16.84</v>
      </c>
      <c r="P479">
        <v>4.68</v>
      </c>
      <c r="Q479">
        <v>2253520</v>
      </c>
      <c r="S479">
        <v>1.37</v>
      </c>
      <c r="U479">
        <v>20</v>
      </c>
      <c r="Z479">
        <v>0.48</v>
      </c>
      <c r="AD479" t="s">
        <v>28</v>
      </c>
      <c r="AE479">
        <v>82</v>
      </c>
      <c r="AF479">
        <v>0.199944652</v>
      </c>
      <c r="AG479">
        <v>1650</v>
      </c>
      <c r="AH479">
        <v>27790000</v>
      </c>
      <c r="AK479" t="s">
        <v>709</v>
      </c>
      <c r="AL479" t="s">
        <v>597</v>
      </c>
      <c r="AM479">
        <v>427.65899999999999</v>
      </c>
      <c r="AO479" t="s">
        <v>35</v>
      </c>
      <c r="AQ479">
        <v>7719444</v>
      </c>
      <c r="AS479">
        <v>2315833.2999999998</v>
      </c>
      <c r="AU479">
        <v>0.04</v>
      </c>
      <c r="AW479">
        <v>2890000</v>
      </c>
      <c r="AY479">
        <v>57800000</v>
      </c>
      <c r="AZ479">
        <v>35030303.030303001</v>
      </c>
      <c r="BB479">
        <v>0.04</v>
      </c>
      <c r="BD479">
        <v>38.99</v>
      </c>
    </row>
    <row r="480" spans="1:57">
      <c r="A480" t="s">
        <v>739</v>
      </c>
      <c r="B480" t="s">
        <v>218</v>
      </c>
      <c r="C480">
        <v>2015</v>
      </c>
      <c r="E480">
        <v>2015</v>
      </c>
      <c r="F480" t="s">
        <v>109</v>
      </c>
      <c r="G480" t="s">
        <v>214</v>
      </c>
      <c r="H480">
        <v>1500</v>
      </c>
      <c r="I480">
        <v>1</v>
      </c>
      <c r="J480" t="s">
        <v>219</v>
      </c>
      <c r="L480" t="s">
        <v>24</v>
      </c>
      <c r="Q480">
        <v>1912300</v>
      </c>
      <c r="S480">
        <v>1.27</v>
      </c>
      <c r="U480">
        <v>25</v>
      </c>
      <c r="AB480" t="s">
        <v>220</v>
      </c>
      <c r="AD480" t="s">
        <v>33</v>
      </c>
      <c r="AF480">
        <v>0.20405730599999999</v>
      </c>
      <c r="AG480">
        <v>1500</v>
      </c>
      <c r="AK480" t="s">
        <v>709</v>
      </c>
      <c r="AL480" t="s">
        <v>597</v>
      </c>
      <c r="AM480">
        <v>427.65899999999999</v>
      </c>
      <c r="AW480">
        <v>2681313</v>
      </c>
      <c r="AY480">
        <v>67032825</v>
      </c>
      <c r="AZ480">
        <v>44688550</v>
      </c>
      <c r="BD480">
        <v>28.53</v>
      </c>
    </row>
    <row r="481" spans="1:57">
      <c r="A481" t="s">
        <v>739</v>
      </c>
      <c r="B481" t="s">
        <v>218</v>
      </c>
      <c r="C481">
        <v>2015</v>
      </c>
      <c r="E481">
        <v>2015</v>
      </c>
      <c r="G481" t="s">
        <v>214</v>
      </c>
      <c r="H481">
        <v>1500</v>
      </c>
      <c r="I481">
        <v>1</v>
      </c>
      <c r="Q481">
        <v>1912300</v>
      </c>
      <c r="S481">
        <v>1.27</v>
      </c>
      <c r="U481">
        <v>25</v>
      </c>
      <c r="AB481" t="s">
        <v>221</v>
      </c>
      <c r="AF481">
        <v>0.31117618000000002</v>
      </c>
      <c r="AG481">
        <v>1500</v>
      </c>
      <c r="AK481" t="s">
        <v>709</v>
      </c>
      <c r="AL481" t="s">
        <v>597</v>
      </c>
      <c r="AM481">
        <v>427.65899999999999</v>
      </c>
      <c r="AW481">
        <v>4088855</v>
      </c>
      <c r="AY481">
        <v>102221375</v>
      </c>
      <c r="AZ481">
        <v>68147583.333333299</v>
      </c>
      <c r="BD481">
        <v>18.71</v>
      </c>
    </row>
    <row r="482" spans="1:57">
      <c r="A482" t="s">
        <v>739</v>
      </c>
      <c r="B482" t="s">
        <v>218</v>
      </c>
      <c r="C482">
        <v>2015</v>
      </c>
      <c r="E482">
        <v>2015</v>
      </c>
      <c r="G482" t="s">
        <v>214</v>
      </c>
      <c r="H482">
        <v>1500</v>
      </c>
      <c r="I482">
        <v>1</v>
      </c>
      <c r="Q482">
        <v>1912300</v>
      </c>
      <c r="S482">
        <v>1.27</v>
      </c>
      <c r="U482">
        <v>25</v>
      </c>
      <c r="AB482" t="s">
        <v>222</v>
      </c>
      <c r="AF482">
        <v>0.40011628599999999</v>
      </c>
      <c r="AG482">
        <v>1500</v>
      </c>
      <c r="AK482" t="s">
        <v>709</v>
      </c>
      <c r="AL482" t="s">
        <v>597</v>
      </c>
      <c r="AM482">
        <v>427.65899999999999</v>
      </c>
      <c r="AW482">
        <v>5257528</v>
      </c>
      <c r="AY482">
        <v>131438200</v>
      </c>
      <c r="AZ482">
        <v>87625466.666666701</v>
      </c>
      <c r="BD482">
        <v>14.55</v>
      </c>
    </row>
    <row r="483" spans="1:57">
      <c r="A483" t="s">
        <v>734</v>
      </c>
      <c r="B483" t="s">
        <v>232</v>
      </c>
      <c r="C483">
        <v>2015</v>
      </c>
      <c r="E483">
        <v>2015</v>
      </c>
      <c r="F483" t="s">
        <v>27</v>
      </c>
      <c r="G483" t="s">
        <v>233</v>
      </c>
      <c r="H483">
        <v>2000</v>
      </c>
      <c r="I483">
        <v>1</v>
      </c>
      <c r="L483" t="s">
        <v>24</v>
      </c>
      <c r="Q483">
        <v>403560</v>
      </c>
      <c r="S483">
        <v>0.2</v>
      </c>
      <c r="U483">
        <v>20</v>
      </c>
      <c r="AB483" t="s">
        <v>234</v>
      </c>
      <c r="AD483" t="s">
        <v>33</v>
      </c>
      <c r="AE483">
        <v>80</v>
      </c>
      <c r="AF483">
        <v>0.22500000000000001</v>
      </c>
      <c r="AG483">
        <v>2000</v>
      </c>
      <c r="AK483" t="s">
        <v>709</v>
      </c>
      <c r="AL483" t="s">
        <v>597</v>
      </c>
      <c r="AM483">
        <v>427.65899999999999</v>
      </c>
      <c r="AO483" t="s">
        <v>35</v>
      </c>
      <c r="AW483">
        <v>3942000</v>
      </c>
      <c r="AY483">
        <v>78840000</v>
      </c>
      <c r="AZ483">
        <v>39420000</v>
      </c>
      <c r="BD483">
        <v>5.12</v>
      </c>
    </row>
    <row r="484" spans="1:57">
      <c r="A484" t="s">
        <v>734</v>
      </c>
      <c r="B484" t="s">
        <v>232</v>
      </c>
      <c r="C484">
        <v>2015</v>
      </c>
      <c r="E484">
        <v>2015</v>
      </c>
      <c r="F484" t="s">
        <v>27</v>
      </c>
      <c r="G484" t="s">
        <v>233</v>
      </c>
      <c r="H484">
        <v>2000</v>
      </c>
      <c r="I484">
        <v>1</v>
      </c>
      <c r="L484" t="s">
        <v>24</v>
      </c>
      <c r="Q484">
        <v>551940</v>
      </c>
      <c r="S484">
        <v>0.28000000000000003</v>
      </c>
      <c r="U484">
        <v>20</v>
      </c>
      <c r="AB484" t="s">
        <v>235</v>
      </c>
      <c r="AD484" t="s">
        <v>33</v>
      </c>
      <c r="AE484">
        <v>80</v>
      </c>
      <c r="AF484">
        <v>0.22500000000000001</v>
      </c>
      <c r="AG484">
        <v>2000</v>
      </c>
      <c r="AK484" t="s">
        <v>709</v>
      </c>
      <c r="AL484" t="s">
        <v>597</v>
      </c>
      <c r="AM484">
        <v>427.65899999999999</v>
      </c>
      <c r="AO484" t="s">
        <v>35</v>
      </c>
      <c r="AW484">
        <v>3942000</v>
      </c>
      <c r="AY484">
        <v>78840000</v>
      </c>
      <c r="AZ484">
        <v>39420000</v>
      </c>
      <c r="BD484">
        <v>7</v>
      </c>
    </row>
    <row r="485" spans="1:57">
      <c r="A485" t="s">
        <v>671</v>
      </c>
      <c r="B485" t="s">
        <v>271</v>
      </c>
      <c r="C485">
        <v>2015</v>
      </c>
      <c r="E485">
        <v>2015</v>
      </c>
      <c r="F485" t="s">
        <v>27</v>
      </c>
      <c r="G485" t="s">
        <v>272</v>
      </c>
      <c r="H485">
        <v>1650</v>
      </c>
      <c r="I485">
        <v>37</v>
      </c>
      <c r="N485">
        <v>6.36</v>
      </c>
      <c r="P485">
        <v>1.77</v>
      </c>
      <c r="Q485">
        <v>47445024</v>
      </c>
      <c r="S485">
        <v>0.78</v>
      </c>
      <c r="U485">
        <v>20</v>
      </c>
      <c r="Z485">
        <v>0.09</v>
      </c>
      <c r="AD485" t="s">
        <v>33</v>
      </c>
      <c r="AF485">
        <v>0.423926417</v>
      </c>
      <c r="AG485">
        <v>61050</v>
      </c>
      <c r="AH485">
        <v>387997200</v>
      </c>
      <c r="AK485" t="s">
        <v>709</v>
      </c>
      <c r="AL485" t="s">
        <v>597</v>
      </c>
      <c r="AM485">
        <v>427.65899999999999</v>
      </c>
      <c r="AO485" t="s">
        <v>20</v>
      </c>
      <c r="AQ485">
        <v>107777000</v>
      </c>
      <c r="AS485">
        <v>32333100</v>
      </c>
      <c r="AU485">
        <v>0.01</v>
      </c>
      <c r="AW485">
        <v>226715000</v>
      </c>
      <c r="AY485">
        <v>4534300000</v>
      </c>
      <c r="AZ485">
        <v>74271908.271908298</v>
      </c>
      <c r="BB485">
        <v>0.02</v>
      </c>
      <c r="BD485">
        <v>10.46</v>
      </c>
      <c r="BE485">
        <v>0.02</v>
      </c>
    </row>
    <row r="486" spans="1:57">
      <c r="A486" t="s">
        <v>722</v>
      </c>
      <c r="B486" t="s">
        <v>286</v>
      </c>
      <c r="C486">
        <v>2015</v>
      </c>
      <c r="E486">
        <v>2015</v>
      </c>
      <c r="F486" t="s">
        <v>27</v>
      </c>
      <c r="G486" t="s">
        <v>287</v>
      </c>
      <c r="H486">
        <v>1650</v>
      </c>
      <c r="I486">
        <v>1</v>
      </c>
      <c r="J486" t="s">
        <v>288</v>
      </c>
      <c r="L486" t="s">
        <v>24</v>
      </c>
      <c r="Q486">
        <v>776062</v>
      </c>
      <c r="S486">
        <v>0.47</v>
      </c>
      <c r="U486">
        <v>20</v>
      </c>
      <c r="AD486" t="s">
        <v>33</v>
      </c>
      <c r="AF486">
        <v>0.41199999999999998</v>
      </c>
      <c r="AG486">
        <v>1650</v>
      </c>
      <c r="AK486" t="s">
        <v>709</v>
      </c>
      <c r="AL486" t="s">
        <v>597</v>
      </c>
      <c r="AM486">
        <v>427.65899999999999</v>
      </c>
      <c r="AO486" t="s">
        <v>35</v>
      </c>
      <c r="AW486">
        <v>5955048</v>
      </c>
      <c r="AY486">
        <v>119100960</v>
      </c>
      <c r="AZ486">
        <v>72182400</v>
      </c>
      <c r="BD486">
        <v>6.52</v>
      </c>
    </row>
    <row r="487" spans="1:57">
      <c r="A487" t="s">
        <v>722</v>
      </c>
      <c r="B487" t="s">
        <v>286</v>
      </c>
      <c r="C487">
        <v>2015</v>
      </c>
      <c r="E487">
        <v>2015</v>
      </c>
      <c r="F487" t="s">
        <v>27</v>
      </c>
      <c r="G487" t="s">
        <v>289</v>
      </c>
      <c r="H487">
        <v>1650</v>
      </c>
      <c r="I487">
        <v>1</v>
      </c>
      <c r="J487" t="s">
        <v>288</v>
      </c>
      <c r="L487" t="s">
        <v>24</v>
      </c>
      <c r="Q487">
        <v>830438</v>
      </c>
      <c r="S487">
        <v>0.5</v>
      </c>
      <c r="U487">
        <v>20</v>
      </c>
      <c r="AD487" t="s">
        <v>33</v>
      </c>
      <c r="AF487">
        <v>0.39700000000000002</v>
      </c>
      <c r="AG487">
        <v>1650</v>
      </c>
      <c r="AK487" t="s">
        <v>709</v>
      </c>
      <c r="AL487" t="s">
        <v>597</v>
      </c>
      <c r="AM487">
        <v>427.65899999999999</v>
      </c>
      <c r="AO487" t="s">
        <v>35</v>
      </c>
      <c r="AW487">
        <v>5738238</v>
      </c>
      <c r="AY487">
        <v>114764760</v>
      </c>
      <c r="AZ487">
        <v>69554400</v>
      </c>
      <c r="BD487">
        <v>7.24</v>
      </c>
    </row>
    <row r="488" spans="1:57">
      <c r="A488" t="s">
        <v>718</v>
      </c>
      <c r="B488" t="s">
        <v>300</v>
      </c>
      <c r="C488">
        <v>2015</v>
      </c>
      <c r="E488">
        <v>2015</v>
      </c>
      <c r="F488" t="s">
        <v>74</v>
      </c>
      <c r="G488" t="s">
        <v>266</v>
      </c>
      <c r="H488">
        <v>2147.9729729730002</v>
      </c>
      <c r="I488">
        <v>148</v>
      </c>
      <c r="J488" t="s">
        <v>301</v>
      </c>
      <c r="L488" t="s">
        <v>24</v>
      </c>
      <c r="Q488">
        <v>362455000</v>
      </c>
      <c r="S488">
        <v>1.1399999999999999</v>
      </c>
      <c r="U488">
        <v>20</v>
      </c>
      <c r="AD488" t="s">
        <v>22</v>
      </c>
      <c r="AF488">
        <v>0.35499999999999998</v>
      </c>
      <c r="AG488">
        <v>317900</v>
      </c>
      <c r="AK488" t="s">
        <v>709</v>
      </c>
      <c r="AL488" t="s">
        <v>597</v>
      </c>
      <c r="AM488">
        <v>427.65899999999999</v>
      </c>
      <c r="AO488" t="s">
        <v>20</v>
      </c>
      <c r="AW488">
        <v>988605420</v>
      </c>
      <c r="AY488">
        <v>19772108400</v>
      </c>
      <c r="AZ488">
        <v>62196000</v>
      </c>
      <c r="BD488">
        <v>18.329999999999998</v>
      </c>
    </row>
    <row r="489" spans="1:57">
      <c r="A489" t="s">
        <v>714</v>
      </c>
      <c r="B489" t="s">
        <v>316</v>
      </c>
      <c r="C489">
        <v>2015</v>
      </c>
      <c r="E489">
        <v>2015</v>
      </c>
      <c r="F489" t="s">
        <v>74</v>
      </c>
      <c r="G489" t="s">
        <v>212</v>
      </c>
      <c r="H489">
        <v>5000</v>
      </c>
      <c r="I489">
        <v>12</v>
      </c>
      <c r="J489" t="s">
        <v>317</v>
      </c>
      <c r="L489" t="s">
        <v>31</v>
      </c>
      <c r="N489">
        <v>33.42</v>
      </c>
      <c r="Q489">
        <v>130104000</v>
      </c>
      <c r="S489">
        <v>2.17</v>
      </c>
      <c r="U489">
        <v>20</v>
      </c>
      <c r="Z489">
        <v>0.43</v>
      </c>
      <c r="AB489" t="s">
        <v>318</v>
      </c>
      <c r="AD489" t="s">
        <v>33</v>
      </c>
      <c r="AF489">
        <v>0.44520547900000002</v>
      </c>
      <c r="AG489">
        <v>60000</v>
      </c>
      <c r="AH489">
        <v>2004912000</v>
      </c>
      <c r="AK489" t="s">
        <v>709</v>
      </c>
      <c r="AL489" t="s">
        <v>597</v>
      </c>
      <c r="AM489">
        <v>427.65899999999999</v>
      </c>
      <c r="AO489" t="s">
        <v>20</v>
      </c>
      <c r="AW489">
        <v>234000000</v>
      </c>
      <c r="AY489">
        <v>4680000000</v>
      </c>
      <c r="AZ489">
        <v>78000000</v>
      </c>
      <c r="BB489">
        <v>0.12</v>
      </c>
      <c r="BD489">
        <v>27.8</v>
      </c>
    </row>
    <row r="490" spans="1:57">
      <c r="A490" t="s">
        <v>714</v>
      </c>
      <c r="B490" t="s">
        <v>316</v>
      </c>
      <c r="C490">
        <v>2015</v>
      </c>
      <c r="E490">
        <v>2015</v>
      </c>
      <c r="F490" t="s">
        <v>74</v>
      </c>
      <c r="G490" t="s">
        <v>212</v>
      </c>
      <c r="H490">
        <v>5000</v>
      </c>
      <c r="I490">
        <v>12</v>
      </c>
      <c r="J490" t="s">
        <v>317</v>
      </c>
      <c r="L490" t="s">
        <v>31</v>
      </c>
      <c r="N490">
        <v>37.35</v>
      </c>
      <c r="Q490">
        <v>146952000</v>
      </c>
      <c r="S490">
        <v>2.4500000000000002</v>
      </c>
      <c r="U490">
        <v>20</v>
      </c>
      <c r="Z490">
        <v>0.48</v>
      </c>
      <c r="AB490" t="s">
        <v>319</v>
      </c>
      <c r="AD490" t="s">
        <v>33</v>
      </c>
      <c r="AF490">
        <v>0.44520547900000002</v>
      </c>
      <c r="AG490">
        <v>60000</v>
      </c>
      <c r="AH490">
        <v>2240784000</v>
      </c>
      <c r="AK490" t="s">
        <v>709</v>
      </c>
      <c r="AL490" t="s">
        <v>597</v>
      </c>
      <c r="AM490">
        <v>427.65899999999999</v>
      </c>
      <c r="AO490" t="s">
        <v>20</v>
      </c>
      <c r="AW490">
        <v>234000000</v>
      </c>
      <c r="AY490">
        <v>4680000000</v>
      </c>
      <c r="AZ490">
        <v>78000000</v>
      </c>
      <c r="BB490">
        <v>0.13</v>
      </c>
      <c r="BD490">
        <v>31.4</v>
      </c>
    </row>
    <row r="491" spans="1:57">
      <c r="A491" t="s">
        <v>710</v>
      </c>
      <c r="B491" t="s">
        <v>327</v>
      </c>
      <c r="C491">
        <v>2015</v>
      </c>
      <c r="E491">
        <v>2015</v>
      </c>
      <c r="F491" t="s">
        <v>27</v>
      </c>
      <c r="G491" t="s">
        <v>224</v>
      </c>
      <c r="H491">
        <v>2100</v>
      </c>
      <c r="I491">
        <v>1</v>
      </c>
      <c r="L491" t="s">
        <v>24</v>
      </c>
      <c r="M491">
        <v>70</v>
      </c>
      <c r="N491">
        <v>1.56</v>
      </c>
      <c r="Q491">
        <v>217000</v>
      </c>
      <c r="S491">
        <v>0.1</v>
      </c>
      <c r="AD491" t="s">
        <v>36</v>
      </c>
      <c r="AE491">
        <v>80</v>
      </c>
      <c r="AG491">
        <v>2100</v>
      </c>
      <c r="AH491">
        <v>3276000</v>
      </c>
      <c r="AK491" t="s">
        <v>709</v>
      </c>
      <c r="AL491" t="s">
        <v>597</v>
      </c>
      <c r="AM491">
        <v>427.65899999999999</v>
      </c>
      <c r="AO491" t="s">
        <v>35</v>
      </c>
      <c r="AQ491">
        <v>910000</v>
      </c>
    </row>
    <row r="492" spans="1:57">
      <c r="A492" t="s">
        <v>710</v>
      </c>
      <c r="B492" t="s">
        <v>327</v>
      </c>
      <c r="C492">
        <v>2015</v>
      </c>
      <c r="E492">
        <v>2015</v>
      </c>
      <c r="F492" t="s">
        <v>27</v>
      </c>
      <c r="G492" t="s">
        <v>224</v>
      </c>
      <c r="H492">
        <v>1600</v>
      </c>
      <c r="I492">
        <v>1</v>
      </c>
      <c r="L492" t="s">
        <v>24</v>
      </c>
      <c r="M492">
        <v>65</v>
      </c>
      <c r="N492">
        <v>1.77</v>
      </c>
      <c r="Q492">
        <v>186000</v>
      </c>
      <c r="S492">
        <v>0.12</v>
      </c>
      <c r="AD492" t="s">
        <v>36</v>
      </c>
      <c r="AE492">
        <v>70</v>
      </c>
      <c r="AG492">
        <v>1600</v>
      </c>
      <c r="AH492">
        <v>2826000</v>
      </c>
      <c r="AK492" t="s">
        <v>709</v>
      </c>
      <c r="AL492" t="s">
        <v>597</v>
      </c>
      <c r="AM492">
        <v>427.65899999999999</v>
      </c>
      <c r="AO492" t="s">
        <v>35</v>
      </c>
      <c r="AQ492">
        <v>785000</v>
      </c>
    </row>
    <row r="493" spans="1:57">
      <c r="A493" t="s">
        <v>710</v>
      </c>
      <c r="B493" t="s">
        <v>327</v>
      </c>
      <c r="C493">
        <v>2015</v>
      </c>
      <c r="E493">
        <v>2015</v>
      </c>
      <c r="F493" t="s">
        <v>27</v>
      </c>
      <c r="G493" t="s">
        <v>224</v>
      </c>
      <c r="H493">
        <v>2700</v>
      </c>
      <c r="I493">
        <v>1</v>
      </c>
      <c r="L493" t="s">
        <v>24</v>
      </c>
      <c r="M493">
        <v>80</v>
      </c>
      <c r="N493">
        <v>1.57</v>
      </c>
      <c r="Q493">
        <v>282000</v>
      </c>
      <c r="S493">
        <v>0.1</v>
      </c>
      <c r="AD493" t="s">
        <v>36</v>
      </c>
      <c r="AE493">
        <v>90</v>
      </c>
      <c r="AG493">
        <v>2700</v>
      </c>
      <c r="AH493">
        <v>4248000</v>
      </c>
      <c r="AK493" t="s">
        <v>709</v>
      </c>
      <c r="AL493" t="s">
        <v>597</v>
      </c>
      <c r="AM493">
        <v>427.65899999999999</v>
      </c>
      <c r="AO493" t="s">
        <v>35</v>
      </c>
      <c r="AQ493">
        <v>1180000</v>
      </c>
    </row>
    <row r="494" spans="1:57">
      <c r="A494" t="s">
        <v>671</v>
      </c>
      <c r="B494" t="s">
        <v>271</v>
      </c>
      <c r="C494">
        <v>2015</v>
      </c>
      <c r="E494">
        <v>2015</v>
      </c>
      <c r="H494">
        <v>1650</v>
      </c>
      <c r="I494">
        <v>1</v>
      </c>
      <c r="J494" t="s">
        <v>545</v>
      </c>
      <c r="L494" t="s">
        <v>24</v>
      </c>
      <c r="X494">
        <v>40</v>
      </c>
      <c r="Z494">
        <v>0.09</v>
      </c>
      <c r="AE494">
        <v>82</v>
      </c>
      <c r="AF494">
        <v>0.35</v>
      </c>
      <c r="AG494">
        <v>1650</v>
      </c>
      <c r="AK494" t="s">
        <v>643</v>
      </c>
      <c r="AL494" t="s">
        <v>597</v>
      </c>
      <c r="AM494">
        <v>427.65899999999999</v>
      </c>
      <c r="AW494">
        <v>5058900</v>
      </c>
      <c r="BB494">
        <v>0.03</v>
      </c>
      <c r="BD494">
        <v>10.42</v>
      </c>
    </row>
    <row r="495" spans="1:57">
      <c r="A495" t="s">
        <v>670</v>
      </c>
      <c r="B495" t="s">
        <v>429</v>
      </c>
      <c r="C495">
        <v>2015</v>
      </c>
      <c r="E495">
        <v>2015</v>
      </c>
      <c r="H495">
        <v>2000</v>
      </c>
      <c r="I495">
        <v>1</v>
      </c>
      <c r="J495" t="s">
        <v>545</v>
      </c>
      <c r="L495" t="s">
        <v>24</v>
      </c>
      <c r="N495">
        <v>4.03</v>
      </c>
      <c r="Q495">
        <v>150707</v>
      </c>
      <c r="S495">
        <v>0.08</v>
      </c>
      <c r="U495">
        <v>20</v>
      </c>
      <c r="X495">
        <v>36</v>
      </c>
      <c r="Z495">
        <v>0.1</v>
      </c>
      <c r="AE495">
        <v>80</v>
      </c>
      <c r="AF495">
        <v>0.23</v>
      </c>
      <c r="AG495">
        <v>2000</v>
      </c>
      <c r="AH495">
        <v>8059200</v>
      </c>
      <c r="AK495" t="s">
        <v>643</v>
      </c>
      <c r="AL495" t="s">
        <v>597</v>
      </c>
      <c r="AM495">
        <v>427.65899999999999</v>
      </c>
      <c r="AQ495">
        <v>2238666.7000000002</v>
      </c>
      <c r="AW495">
        <v>4029600</v>
      </c>
      <c r="AY495">
        <v>80592000</v>
      </c>
      <c r="AZ495">
        <v>40296000</v>
      </c>
      <c r="BB495">
        <v>0.03</v>
      </c>
      <c r="BD495">
        <v>1.87</v>
      </c>
    </row>
    <row r="496" spans="1:57">
      <c r="A496" t="s">
        <v>668</v>
      </c>
      <c r="B496" t="s">
        <v>532</v>
      </c>
      <c r="C496">
        <v>2015</v>
      </c>
      <c r="E496">
        <v>2015</v>
      </c>
      <c r="H496">
        <v>2000</v>
      </c>
      <c r="I496">
        <v>1</v>
      </c>
      <c r="J496" t="s">
        <v>545</v>
      </c>
      <c r="L496" t="s">
        <v>24</v>
      </c>
      <c r="N496">
        <v>6.59</v>
      </c>
      <c r="Q496">
        <v>1021066</v>
      </c>
      <c r="S496">
        <v>0.51</v>
      </c>
      <c r="U496">
        <v>20</v>
      </c>
      <c r="X496">
        <v>45</v>
      </c>
      <c r="Z496">
        <v>0.08</v>
      </c>
      <c r="AE496">
        <v>100</v>
      </c>
      <c r="AF496">
        <v>0.47</v>
      </c>
      <c r="AG496">
        <v>2000</v>
      </c>
      <c r="AH496">
        <v>13175040</v>
      </c>
      <c r="AK496" t="s">
        <v>643</v>
      </c>
      <c r="AL496" t="s">
        <v>597</v>
      </c>
      <c r="AM496">
        <v>427.65899999999999</v>
      </c>
      <c r="AQ496">
        <v>3659733.3</v>
      </c>
      <c r="AW496">
        <v>8234400</v>
      </c>
      <c r="AY496">
        <v>164688000</v>
      </c>
      <c r="AZ496">
        <v>82344000</v>
      </c>
      <c r="BB496">
        <v>0.02</v>
      </c>
      <c r="BD496">
        <v>6.2</v>
      </c>
    </row>
    <row r="497" spans="1:57">
      <c r="A497" t="s">
        <v>669</v>
      </c>
      <c r="B497" t="s">
        <v>535</v>
      </c>
      <c r="C497">
        <v>2015</v>
      </c>
      <c r="E497">
        <v>2015</v>
      </c>
      <c r="H497">
        <v>2000</v>
      </c>
      <c r="I497">
        <v>1</v>
      </c>
      <c r="J497" t="s">
        <v>545</v>
      </c>
      <c r="L497" t="s">
        <v>24</v>
      </c>
      <c r="Q497">
        <v>1084838</v>
      </c>
      <c r="S497">
        <v>0.54</v>
      </c>
      <c r="U497">
        <v>20</v>
      </c>
      <c r="AE497">
        <v>110</v>
      </c>
      <c r="AF497">
        <v>0.43</v>
      </c>
      <c r="AG497">
        <v>2000</v>
      </c>
      <c r="AK497" t="s">
        <v>643</v>
      </c>
      <c r="AL497" t="s">
        <v>597</v>
      </c>
      <c r="AM497">
        <v>427.65899999999999</v>
      </c>
      <c r="AW497">
        <v>7533600</v>
      </c>
      <c r="AY497">
        <v>150672000</v>
      </c>
      <c r="AZ497">
        <v>75336000</v>
      </c>
      <c r="BD497">
        <v>7.2</v>
      </c>
    </row>
    <row r="498" spans="1:57">
      <c r="A498" t="s">
        <v>668</v>
      </c>
      <c r="B498" t="s">
        <v>532</v>
      </c>
      <c r="C498">
        <v>2015</v>
      </c>
      <c r="E498">
        <v>2015</v>
      </c>
      <c r="H498">
        <v>3300</v>
      </c>
      <c r="I498">
        <v>1</v>
      </c>
      <c r="J498" t="s">
        <v>545</v>
      </c>
      <c r="L498" t="s">
        <v>24</v>
      </c>
      <c r="Q498">
        <v>1676664</v>
      </c>
      <c r="S498">
        <v>0.51</v>
      </c>
      <c r="U498">
        <v>20</v>
      </c>
      <c r="AE498">
        <v>112</v>
      </c>
      <c r="AF498">
        <v>0.5</v>
      </c>
      <c r="AG498">
        <v>3300</v>
      </c>
      <c r="AK498" t="s">
        <v>643</v>
      </c>
      <c r="AL498" t="s">
        <v>597</v>
      </c>
      <c r="AM498">
        <v>427.65899999999999</v>
      </c>
      <c r="AW498">
        <v>14454000</v>
      </c>
      <c r="AY498">
        <v>289080000</v>
      </c>
      <c r="AZ498">
        <v>87600000</v>
      </c>
      <c r="BD498">
        <v>5.8</v>
      </c>
    </row>
    <row r="499" spans="1:57">
      <c r="A499" s="238" t="s">
        <v>788</v>
      </c>
      <c r="B499" s="238" t="s">
        <v>463</v>
      </c>
      <c r="C499" s="238">
        <v>2016</v>
      </c>
      <c r="D499" s="238"/>
      <c r="E499" s="238">
        <v>2016</v>
      </c>
      <c r="F499" s="238" t="s">
        <v>27</v>
      </c>
      <c r="G499" s="238" t="s">
        <v>205</v>
      </c>
      <c r="H499" s="238">
        <v>2000</v>
      </c>
      <c r="I499" s="238">
        <v>8</v>
      </c>
      <c r="J499" s="238"/>
      <c r="K499" s="238" t="s">
        <v>461</v>
      </c>
      <c r="L499" s="238" t="s">
        <v>24</v>
      </c>
      <c r="M499" s="238"/>
      <c r="N499" s="238">
        <v>6.55</v>
      </c>
      <c r="O499" s="238"/>
      <c r="P499" s="238">
        <v>1.82</v>
      </c>
      <c r="Q499" s="238"/>
      <c r="R499" s="238"/>
      <c r="S499" s="238"/>
      <c r="T499" s="238"/>
      <c r="U499" s="238">
        <v>20</v>
      </c>
      <c r="V499" s="238"/>
      <c r="W499" s="238"/>
      <c r="X499" s="238"/>
      <c r="Y499" s="238"/>
      <c r="Z499" s="238"/>
      <c r="AA499" s="238"/>
      <c r="AB499" s="238"/>
      <c r="AC499" s="238">
        <v>0.65</v>
      </c>
      <c r="AD499" s="238" t="s">
        <v>22</v>
      </c>
      <c r="AE499" s="238"/>
      <c r="AF499" s="238">
        <v>0.32156107299999998</v>
      </c>
      <c r="AG499" s="238">
        <v>16000</v>
      </c>
      <c r="AH499" s="238">
        <v>104724000</v>
      </c>
      <c r="AI499" s="238"/>
      <c r="AJ499" s="238"/>
      <c r="AK499" s="238" t="s">
        <v>769</v>
      </c>
      <c r="AL499" s="238" t="s">
        <v>597</v>
      </c>
      <c r="AM499" s="238">
        <v>427.65899999999999</v>
      </c>
      <c r="AN499" s="238"/>
      <c r="AO499" s="238" t="s">
        <v>340</v>
      </c>
      <c r="AP499" s="238"/>
      <c r="AQ499" s="238">
        <v>29090000</v>
      </c>
      <c r="AR499" s="238"/>
      <c r="AS499" s="238"/>
      <c r="AT499" s="238"/>
      <c r="AU499" s="238"/>
      <c r="AV499" s="238"/>
      <c r="AW499" s="238">
        <v>45070000</v>
      </c>
      <c r="AX499" s="238"/>
      <c r="AY499" s="238">
        <v>901400000</v>
      </c>
      <c r="AZ499" s="238">
        <v>56337500</v>
      </c>
      <c r="BA499" s="238"/>
      <c r="BB499" s="238">
        <v>3.2000000000000001E-2</v>
      </c>
      <c r="BC499" s="238"/>
      <c r="BD499" s="238"/>
      <c r="BE499" s="238"/>
    </row>
    <row r="500" spans="1:57">
      <c r="A500" s="237" t="s">
        <v>788</v>
      </c>
      <c r="B500" s="237" t="s">
        <v>463</v>
      </c>
      <c r="C500" s="237">
        <v>2016</v>
      </c>
      <c r="D500" s="237"/>
      <c r="E500" s="237">
        <v>2016</v>
      </c>
      <c r="F500" s="237" t="s">
        <v>27</v>
      </c>
      <c r="G500" s="237" t="s">
        <v>205</v>
      </c>
      <c r="H500" s="237">
        <v>2000</v>
      </c>
      <c r="I500" s="237">
        <v>80</v>
      </c>
      <c r="J500" s="237"/>
      <c r="K500" s="237" t="s">
        <v>461</v>
      </c>
      <c r="L500" s="237" t="s">
        <v>31</v>
      </c>
      <c r="M500" s="237"/>
      <c r="N500" s="237">
        <v>10.94</v>
      </c>
      <c r="O500" s="237"/>
      <c r="P500" s="237">
        <v>3.04</v>
      </c>
      <c r="Q500" s="237"/>
      <c r="R500" s="237"/>
      <c r="S500" s="237"/>
      <c r="T500" s="237"/>
      <c r="U500" s="237">
        <v>20</v>
      </c>
      <c r="V500" s="237"/>
      <c r="W500" s="237"/>
      <c r="X500" s="237"/>
      <c r="Y500" s="237"/>
      <c r="Z500" s="237"/>
      <c r="AA500" s="237"/>
      <c r="AB500" s="237"/>
      <c r="AC500" s="237">
        <v>0.75</v>
      </c>
      <c r="AD500" s="237" t="s">
        <v>464</v>
      </c>
      <c r="AE500" s="237"/>
      <c r="AF500" s="237">
        <v>0.46161529699999998</v>
      </c>
      <c r="AG500" s="237">
        <v>160000</v>
      </c>
      <c r="AH500" s="237">
        <v>1749600000</v>
      </c>
      <c r="AI500" s="237"/>
      <c r="AJ500" s="237"/>
      <c r="AK500" s="237" t="s">
        <v>769</v>
      </c>
      <c r="AL500" s="237" t="s">
        <v>597</v>
      </c>
      <c r="AM500" s="237">
        <v>427.65899999999999</v>
      </c>
      <c r="AN500" s="237"/>
      <c r="AO500" s="237" t="s">
        <v>340</v>
      </c>
      <c r="AP500" s="237"/>
      <c r="AQ500" s="237">
        <v>486000000</v>
      </c>
      <c r="AR500" s="237"/>
      <c r="AS500" s="237"/>
      <c r="AT500" s="237"/>
      <c r="AU500" s="237"/>
      <c r="AV500" s="237"/>
      <c r="AW500" s="237">
        <v>647000000</v>
      </c>
      <c r="AX500" s="237"/>
      <c r="AY500" s="237">
        <v>12940000000</v>
      </c>
      <c r="AZ500" s="237">
        <v>80875000</v>
      </c>
      <c r="BA500" s="237"/>
      <c r="BB500" s="237">
        <v>3.7999999999999999E-2</v>
      </c>
      <c r="BC500" s="237"/>
      <c r="BD500" s="237"/>
      <c r="BE500" s="237"/>
    </row>
    <row r="501" spans="1:57">
      <c r="A501" t="s">
        <v>768</v>
      </c>
      <c r="B501" t="s">
        <v>29</v>
      </c>
      <c r="C501">
        <v>2016</v>
      </c>
      <c r="E501">
        <v>2016</v>
      </c>
      <c r="F501" t="s">
        <v>27</v>
      </c>
      <c r="G501" t="s">
        <v>30</v>
      </c>
      <c r="L501" t="s">
        <v>24</v>
      </c>
      <c r="N501">
        <v>9.08</v>
      </c>
      <c r="U501">
        <v>20</v>
      </c>
      <c r="AF501">
        <v>0.25700000000000001</v>
      </c>
      <c r="AK501" t="s">
        <v>709</v>
      </c>
      <c r="AL501" t="s">
        <v>597</v>
      </c>
      <c r="AM501">
        <v>480.73439999999999</v>
      </c>
      <c r="AU501">
        <v>0.02</v>
      </c>
      <c r="AZ501">
        <v>45000000</v>
      </c>
      <c r="BB501">
        <v>0.05</v>
      </c>
    </row>
    <row r="502" spans="1:57">
      <c r="A502" t="s">
        <v>768</v>
      </c>
      <c r="B502" t="s">
        <v>29</v>
      </c>
      <c r="C502">
        <v>2016</v>
      </c>
      <c r="E502">
        <v>2016</v>
      </c>
      <c r="F502" t="s">
        <v>27</v>
      </c>
      <c r="G502" t="s">
        <v>30</v>
      </c>
      <c r="L502" t="s">
        <v>24</v>
      </c>
      <c r="N502">
        <v>9.08</v>
      </c>
      <c r="U502">
        <v>20</v>
      </c>
      <c r="AF502">
        <v>0.215</v>
      </c>
      <c r="AK502" t="s">
        <v>709</v>
      </c>
      <c r="AL502" t="s">
        <v>597</v>
      </c>
      <c r="AM502">
        <v>480.73439999999999</v>
      </c>
      <c r="AU502">
        <v>0.02</v>
      </c>
      <c r="AZ502">
        <v>37777777.777777798</v>
      </c>
      <c r="BB502">
        <v>0.06</v>
      </c>
    </row>
    <row r="503" spans="1:57">
      <c r="A503" t="s">
        <v>768</v>
      </c>
      <c r="B503" t="s">
        <v>29</v>
      </c>
      <c r="C503">
        <v>2016</v>
      </c>
      <c r="E503">
        <v>2016</v>
      </c>
      <c r="F503" t="s">
        <v>27</v>
      </c>
      <c r="G503" t="s">
        <v>30</v>
      </c>
      <c r="L503" t="s">
        <v>24</v>
      </c>
      <c r="N503">
        <v>9.08</v>
      </c>
      <c r="U503">
        <v>30</v>
      </c>
      <c r="AF503">
        <v>0.27900000000000003</v>
      </c>
      <c r="AK503" t="s">
        <v>709</v>
      </c>
      <c r="AL503" t="s">
        <v>597</v>
      </c>
      <c r="AM503">
        <v>480.73439999999999</v>
      </c>
      <c r="AU503">
        <v>0.01</v>
      </c>
      <c r="AZ503">
        <v>73333333.333333299</v>
      </c>
      <c r="BB503">
        <v>0.03</v>
      </c>
    </row>
    <row r="504" spans="1:57">
      <c r="A504" t="s">
        <v>768</v>
      </c>
      <c r="B504" t="s">
        <v>29</v>
      </c>
      <c r="C504">
        <v>2016</v>
      </c>
      <c r="E504">
        <v>2016</v>
      </c>
      <c r="F504" t="s">
        <v>27</v>
      </c>
      <c r="G504" t="s">
        <v>30</v>
      </c>
      <c r="L504" t="s">
        <v>31</v>
      </c>
      <c r="N504">
        <v>11.3</v>
      </c>
      <c r="U504">
        <v>20</v>
      </c>
      <c r="AF504">
        <v>0.33600000000000002</v>
      </c>
      <c r="AK504" t="s">
        <v>709</v>
      </c>
      <c r="AL504" t="s">
        <v>597</v>
      </c>
      <c r="AM504">
        <v>480.73439999999999</v>
      </c>
      <c r="AU504">
        <v>0.02</v>
      </c>
      <c r="AZ504">
        <v>58888888.888888903</v>
      </c>
      <c r="BB504">
        <v>0.05</v>
      </c>
    </row>
    <row r="505" spans="1:57">
      <c r="A505" t="s">
        <v>768</v>
      </c>
      <c r="B505" t="s">
        <v>29</v>
      </c>
      <c r="C505">
        <v>2016</v>
      </c>
      <c r="E505">
        <v>2016</v>
      </c>
      <c r="F505" t="s">
        <v>27</v>
      </c>
      <c r="G505" t="s">
        <v>30</v>
      </c>
      <c r="L505" t="s">
        <v>31</v>
      </c>
      <c r="N505">
        <v>11.3</v>
      </c>
      <c r="U505">
        <v>20</v>
      </c>
      <c r="AF505">
        <v>0.29499999999999998</v>
      </c>
      <c r="AK505" t="s">
        <v>709</v>
      </c>
      <c r="AL505" t="s">
        <v>597</v>
      </c>
      <c r="AM505">
        <v>480.73439999999999</v>
      </c>
      <c r="AU505">
        <v>0.02</v>
      </c>
      <c r="AZ505">
        <v>51666666.666666701</v>
      </c>
      <c r="BB505">
        <v>0.06</v>
      </c>
    </row>
    <row r="506" spans="1:57">
      <c r="A506" t="s">
        <v>768</v>
      </c>
      <c r="B506" t="s">
        <v>29</v>
      </c>
      <c r="C506">
        <v>2016</v>
      </c>
      <c r="E506">
        <v>2016</v>
      </c>
      <c r="F506" t="s">
        <v>27</v>
      </c>
      <c r="G506" t="s">
        <v>30</v>
      </c>
      <c r="L506" t="s">
        <v>31</v>
      </c>
      <c r="N506">
        <v>11.3</v>
      </c>
      <c r="U506">
        <v>30</v>
      </c>
      <c r="AF506">
        <v>0.375</v>
      </c>
      <c r="AK506" t="s">
        <v>709</v>
      </c>
      <c r="AL506" t="s">
        <v>597</v>
      </c>
      <c r="AM506">
        <v>480.73439999999999</v>
      </c>
      <c r="AU506">
        <v>0.01</v>
      </c>
      <c r="AZ506">
        <v>98611111.111111104</v>
      </c>
      <c r="BB506">
        <v>0.03</v>
      </c>
    </row>
    <row r="507" spans="1:57">
      <c r="A507" t="s">
        <v>767</v>
      </c>
      <c r="B507" t="s">
        <v>32</v>
      </c>
      <c r="C507">
        <v>2016</v>
      </c>
      <c r="E507">
        <v>2016</v>
      </c>
      <c r="F507" t="s">
        <v>27</v>
      </c>
      <c r="G507" t="s">
        <v>19</v>
      </c>
      <c r="H507">
        <v>2000</v>
      </c>
      <c r="I507">
        <v>24</v>
      </c>
      <c r="L507" t="s">
        <v>24</v>
      </c>
      <c r="N507">
        <v>5.13</v>
      </c>
      <c r="P507">
        <v>1.42</v>
      </c>
      <c r="Q507">
        <v>23730540</v>
      </c>
      <c r="S507">
        <v>0.49</v>
      </c>
      <c r="U507">
        <v>20</v>
      </c>
      <c r="Z507">
        <v>0.08</v>
      </c>
      <c r="AD507" t="s">
        <v>33</v>
      </c>
      <c r="AF507">
        <v>0.375</v>
      </c>
      <c r="AG507">
        <v>48000</v>
      </c>
      <c r="AH507">
        <v>246220000</v>
      </c>
      <c r="AK507" t="s">
        <v>709</v>
      </c>
      <c r="AL507" t="s">
        <v>597</v>
      </c>
      <c r="AM507">
        <v>480.73439999999999</v>
      </c>
      <c r="AO507" t="s">
        <v>20</v>
      </c>
      <c r="AQ507">
        <v>68394444</v>
      </c>
      <c r="AS507">
        <v>20518333.300000001</v>
      </c>
      <c r="AU507">
        <v>0.01</v>
      </c>
      <c r="AW507">
        <v>157680000</v>
      </c>
      <c r="AY507">
        <v>3274600000</v>
      </c>
      <c r="AZ507">
        <v>68220833.333333299</v>
      </c>
      <c r="BB507">
        <v>0.01</v>
      </c>
      <c r="BD507">
        <v>7.25</v>
      </c>
    </row>
    <row r="508" spans="1:57">
      <c r="A508" t="s">
        <v>766</v>
      </c>
      <c r="B508" t="s">
        <v>34</v>
      </c>
      <c r="C508">
        <v>2016</v>
      </c>
      <c r="E508">
        <v>2016</v>
      </c>
      <c r="F508" t="s">
        <v>27</v>
      </c>
      <c r="H508">
        <v>1500</v>
      </c>
      <c r="I508">
        <v>1</v>
      </c>
      <c r="N508">
        <v>7.94</v>
      </c>
      <c r="O508">
        <v>0.15</v>
      </c>
      <c r="P508">
        <v>2.21</v>
      </c>
      <c r="Q508">
        <v>932000</v>
      </c>
      <c r="R508">
        <v>22000</v>
      </c>
      <c r="S508">
        <v>0.62</v>
      </c>
      <c r="T508">
        <v>0.01</v>
      </c>
      <c r="AB508" t="s">
        <v>37</v>
      </c>
      <c r="AD508" t="s">
        <v>36</v>
      </c>
      <c r="AG508">
        <v>1500</v>
      </c>
      <c r="AH508">
        <v>11909000</v>
      </c>
      <c r="AK508" t="s">
        <v>709</v>
      </c>
      <c r="AL508" t="s">
        <v>597</v>
      </c>
      <c r="AM508">
        <v>480.73439999999999</v>
      </c>
      <c r="AO508" t="s">
        <v>35</v>
      </c>
      <c r="AP508">
        <v>218000</v>
      </c>
      <c r="AQ508">
        <v>3308056</v>
      </c>
      <c r="AR508">
        <v>60556</v>
      </c>
      <c r="AS508">
        <v>992416.7</v>
      </c>
    </row>
    <row r="509" spans="1:57">
      <c r="A509" t="s">
        <v>766</v>
      </c>
      <c r="B509" t="s">
        <v>34</v>
      </c>
      <c r="C509">
        <v>2016</v>
      </c>
      <c r="E509">
        <v>2016</v>
      </c>
      <c r="F509" t="s">
        <v>27</v>
      </c>
      <c r="H509">
        <v>1500</v>
      </c>
      <c r="I509">
        <v>1</v>
      </c>
      <c r="N509">
        <v>9.16</v>
      </c>
      <c r="O509">
        <v>0.16</v>
      </c>
      <c r="P509">
        <v>2.54</v>
      </c>
      <c r="Q509">
        <v>1070000</v>
      </c>
      <c r="R509">
        <v>24000</v>
      </c>
      <c r="S509">
        <v>0.71</v>
      </c>
      <c r="T509">
        <v>0.02</v>
      </c>
      <c r="AB509" t="s">
        <v>38</v>
      </c>
      <c r="AD509" t="s">
        <v>36</v>
      </c>
      <c r="AG509">
        <v>1500</v>
      </c>
      <c r="AH509">
        <v>13735000</v>
      </c>
      <c r="AK509" t="s">
        <v>709</v>
      </c>
      <c r="AL509" t="s">
        <v>597</v>
      </c>
      <c r="AM509">
        <v>480.73439999999999</v>
      </c>
      <c r="AO509" t="s">
        <v>35</v>
      </c>
      <c r="AP509">
        <v>244000</v>
      </c>
      <c r="AQ509">
        <v>3815278</v>
      </c>
      <c r="AR509">
        <v>67778</v>
      </c>
      <c r="AS509">
        <v>1144583.3</v>
      </c>
    </row>
    <row r="510" spans="1:57">
      <c r="A510" t="s">
        <v>766</v>
      </c>
      <c r="B510" t="s">
        <v>34</v>
      </c>
      <c r="C510">
        <v>2016</v>
      </c>
      <c r="E510">
        <v>2016</v>
      </c>
      <c r="F510" t="s">
        <v>27</v>
      </c>
      <c r="H510">
        <v>1500</v>
      </c>
      <c r="I510">
        <v>1</v>
      </c>
      <c r="N510">
        <v>21.21</v>
      </c>
      <c r="O510">
        <v>0.78</v>
      </c>
      <c r="P510">
        <v>5.89</v>
      </c>
      <c r="Q510">
        <v>2475000</v>
      </c>
      <c r="R510">
        <v>96000</v>
      </c>
      <c r="S510">
        <v>1.65</v>
      </c>
      <c r="T510">
        <v>0.06</v>
      </c>
      <c r="AB510" t="s">
        <v>39</v>
      </c>
      <c r="AD510" t="s">
        <v>36</v>
      </c>
      <c r="AG510">
        <v>1500</v>
      </c>
      <c r="AH510">
        <v>31822000</v>
      </c>
      <c r="AK510" t="s">
        <v>709</v>
      </c>
      <c r="AL510" t="s">
        <v>597</v>
      </c>
      <c r="AM510">
        <v>480.73439999999999</v>
      </c>
      <c r="AO510" t="s">
        <v>35</v>
      </c>
      <c r="AP510">
        <v>1166000</v>
      </c>
      <c r="AQ510">
        <v>8839444</v>
      </c>
      <c r="AR510">
        <v>323889</v>
      </c>
      <c r="AS510">
        <v>2651833.2999999998</v>
      </c>
    </row>
    <row r="511" spans="1:57">
      <c r="A511" t="s">
        <v>766</v>
      </c>
      <c r="B511" t="s">
        <v>34</v>
      </c>
      <c r="C511">
        <v>2016</v>
      </c>
      <c r="E511">
        <v>2016</v>
      </c>
      <c r="F511" t="s">
        <v>27</v>
      </c>
      <c r="H511">
        <v>1500</v>
      </c>
      <c r="I511">
        <v>1</v>
      </c>
      <c r="N511">
        <v>7.15</v>
      </c>
      <c r="O511">
        <v>0.14000000000000001</v>
      </c>
      <c r="P511">
        <v>1.99</v>
      </c>
      <c r="Q511">
        <v>849000</v>
      </c>
      <c r="R511">
        <v>22000</v>
      </c>
      <c r="S511">
        <v>0.56999999999999995</v>
      </c>
      <c r="T511">
        <v>0.01</v>
      </c>
      <c r="AB511" t="s">
        <v>40</v>
      </c>
      <c r="AD511" t="s">
        <v>36</v>
      </c>
      <c r="AG511">
        <v>1500</v>
      </c>
      <c r="AH511">
        <v>10722000</v>
      </c>
      <c r="AK511" t="s">
        <v>709</v>
      </c>
      <c r="AL511" t="s">
        <v>597</v>
      </c>
      <c r="AM511">
        <v>480.73439999999999</v>
      </c>
      <c r="AO511" t="s">
        <v>35</v>
      </c>
      <c r="AP511">
        <v>211000</v>
      </c>
      <c r="AQ511">
        <v>2978333</v>
      </c>
      <c r="AR511">
        <v>58611</v>
      </c>
      <c r="AS511">
        <v>893500</v>
      </c>
    </row>
    <row r="512" spans="1:57">
      <c r="A512" t="s">
        <v>766</v>
      </c>
      <c r="B512" t="s">
        <v>34</v>
      </c>
      <c r="C512">
        <v>2016</v>
      </c>
      <c r="E512">
        <v>2016</v>
      </c>
      <c r="F512" t="s">
        <v>27</v>
      </c>
      <c r="H512">
        <v>1500</v>
      </c>
      <c r="I512">
        <v>1</v>
      </c>
      <c r="N512">
        <v>21.67</v>
      </c>
      <c r="O512">
        <v>0.87</v>
      </c>
      <c r="P512">
        <v>6.02</v>
      </c>
      <c r="Q512">
        <v>2529000</v>
      </c>
      <c r="R512">
        <v>108000</v>
      </c>
      <c r="S512">
        <v>1.69</v>
      </c>
      <c r="T512">
        <v>7.0000000000000007E-2</v>
      </c>
      <c r="AB512" t="s">
        <v>41</v>
      </c>
      <c r="AD512" t="s">
        <v>36</v>
      </c>
      <c r="AG512">
        <v>1500</v>
      </c>
      <c r="AH512">
        <v>32503000</v>
      </c>
      <c r="AK512" t="s">
        <v>709</v>
      </c>
      <c r="AL512" t="s">
        <v>597</v>
      </c>
      <c r="AM512">
        <v>480.73439999999999</v>
      </c>
      <c r="AO512" t="s">
        <v>35</v>
      </c>
      <c r="AP512">
        <v>1304000</v>
      </c>
      <c r="AQ512">
        <v>9028611</v>
      </c>
      <c r="AR512">
        <v>362222</v>
      </c>
      <c r="AS512">
        <v>2708583.3</v>
      </c>
    </row>
    <row r="513" spans="1:56">
      <c r="A513" t="s">
        <v>717</v>
      </c>
      <c r="B513" t="s">
        <v>80</v>
      </c>
      <c r="C513">
        <v>2016</v>
      </c>
      <c r="E513">
        <v>2016</v>
      </c>
      <c r="F513" t="s">
        <v>27</v>
      </c>
      <c r="G513" t="s">
        <v>81</v>
      </c>
      <c r="H513">
        <v>1940</v>
      </c>
      <c r="I513">
        <v>682</v>
      </c>
      <c r="J513" t="s">
        <v>82</v>
      </c>
      <c r="L513" t="s">
        <v>24</v>
      </c>
      <c r="Q513">
        <v>816480000</v>
      </c>
      <c r="S513">
        <v>0.62</v>
      </c>
      <c r="U513">
        <v>40</v>
      </c>
      <c r="AD513" t="s">
        <v>33</v>
      </c>
      <c r="AF513">
        <v>0.25159227899999997</v>
      </c>
      <c r="AG513">
        <v>1323080</v>
      </c>
      <c r="AK513" t="s">
        <v>709</v>
      </c>
      <c r="AL513" t="s">
        <v>597</v>
      </c>
      <c r="AM513">
        <v>480.73439999999999</v>
      </c>
      <c r="AO513" t="s">
        <v>20</v>
      </c>
      <c r="AW513">
        <v>2916000000</v>
      </c>
      <c r="AY513">
        <v>116640000000</v>
      </c>
      <c r="AZ513">
        <v>88157934.516431406</v>
      </c>
      <c r="BD513">
        <v>7</v>
      </c>
    </row>
    <row r="514" spans="1:56">
      <c r="A514" t="s">
        <v>735</v>
      </c>
      <c r="B514" t="s">
        <v>108</v>
      </c>
      <c r="C514">
        <v>2016</v>
      </c>
      <c r="E514">
        <v>2016</v>
      </c>
      <c r="F514" t="s">
        <v>109</v>
      </c>
      <c r="G514" t="s">
        <v>19</v>
      </c>
      <c r="H514">
        <v>2000</v>
      </c>
      <c r="I514">
        <v>24</v>
      </c>
      <c r="L514" t="s">
        <v>24</v>
      </c>
      <c r="Q514">
        <v>14490000</v>
      </c>
      <c r="S514">
        <v>0.3</v>
      </c>
      <c r="U514">
        <v>20</v>
      </c>
      <c r="AB514" t="s">
        <v>110</v>
      </c>
      <c r="AD514" t="s">
        <v>86</v>
      </c>
      <c r="AF514">
        <v>0.30270167399999998</v>
      </c>
      <c r="AG514">
        <v>48000</v>
      </c>
      <c r="AK514" t="s">
        <v>709</v>
      </c>
      <c r="AL514" t="s">
        <v>597</v>
      </c>
      <c r="AM514">
        <v>480.73439999999999</v>
      </c>
      <c r="AO514" t="s">
        <v>20</v>
      </c>
      <c r="AW514">
        <v>127280000</v>
      </c>
      <c r="AY514">
        <v>2545600000</v>
      </c>
      <c r="AZ514">
        <v>53033333.333333299</v>
      </c>
      <c r="BD514">
        <v>5.69</v>
      </c>
    </row>
    <row r="515" spans="1:56">
      <c r="A515" t="s">
        <v>735</v>
      </c>
      <c r="B515" t="s">
        <v>108</v>
      </c>
      <c r="C515">
        <v>2016</v>
      </c>
      <c r="E515">
        <v>2016</v>
      </c>
      <c r="F515" t="s">
        <v>109</v>
      </c>
      <c r="G515" t="s">
        <v>19</v>
      </c>
      <c r="H515">
        <v>2000</v>
      </c>
      <c r="I515">
        <v>24</v>
      </c>
      <c r="L515" t="s">
        <v>24</v>
      </c>
      <c r="Q515">
        <v>14490000</v>
      </c>
      <c r="S515">
        <v>0.3</v>
      </c>
      <c r="U515">
        <v>20</v>
      </c>
      <c r="AB515" t="s">
        <v>111</v>
      </c>
      <c r="AD515" t="s">
        <v>86</v>
      </c>
      <c r="AF515">
        <v>0.228239155</v>
      </c>
      <c r="AG515">
        <v>48000</v>
      </c>
      <c r="AK515" t="s">
        <v>709</v>
      </c>
      <c r="AL515" t="s">
        <v>597</v>
      </c>
      <c r="AM515">
        <v>480.73439999999999</v>
      </c>
      <c r="AO515" t="s">
        <v>20</v>
      </c>
      <c r="AW515">
        <v>95970000</v>
      </c>
      <c r="AY515">
        <v>1919400000</v>
      </c>
      <c r="AZ515">
        <v>39987500</v>
      </c>
      <c r="BD515">
        <v>7.55</v>
      </c>
    </row>
    <row r="516" spans="1:56">
      <c r="A516" t="s">
        <v>751</v>
      </c>
      <c r="B516" t="s">
        <v>148</v>
      </c>
      <c r="C516">
        <v>2016</v>
      </c>
      <c r="E516">
        <v>2016</v>
      </c>
      <c r="F516" t="s">
        <v>27</v>
      </c>
      <c r="H516">
        <v>2130</v>
      </c>
      <c r="I516">
        <v>8</v>
      </c>
      <c r="U516">
        <v>20</v>
      </c>
      <c r="AD516" t="s">
        <v>33</v>
      </c>
      <c r="AF516">
        <v>1.025990417</v>
      </c>
      <c r="AG516">
        <v>17040</v>
      </c>
      <c r="AK516" t="s">
        <v>709</v>
      </c>
      <c r="AL516" t="s">
        <v>597</v>
      </c>
      <c r="AM516">
        <v>480.73439999999999</v>
      </c>
      <c r="AO516" t="s">
        <v>35</v>
      </c>
      <c r="AW516">
        <v>153150000</v>
      </c>
      <c r="AY516">
        <v>3063000000</v>
      </c>
      <c r="AZ516">
        <v>179753521.12676099</v>
      </c>
      <c r="BD516">
        <v>0.56999999999999995</v>
      </c>
    </row>
    <row r="517" spans="1:56">
      <c r="A517" t="s">
        <v>751</v>
      </c>
      <c r="B517" t="s">
        <v>148</v>
      </c>
      <c r="C517">
        <v>2016</v>
      </c>
      <c r="E517">
        <v>2016</v>
      </c>
      <c r="F517" t="s">
        <v>27</v>
      </c>
      <c r="H517">
        <v>1630</v>
      </c>
      <c r="I517">
        <v>10</v>
      </c>
      <c r="U517">
        <v>20</v>
      </c>
      <c r="AD517" t="s">
        <v>33</v>
      </c>
      <c r="AF517">
        <v>1.019693532</v>
      </c>
      <c r="AG517">
        <v>16300</v>
      </c>
      <c r="AK517" t="s">
        <v>709</v>
      </c>
      <c r="AL517" t="s">
        <v>597</v>
      </c>
      <c r="AM517">
        <v>480.73439999999999</v>
      </c>
      <c r="AO517" t="s">
        <v>35</v>
      </c>
      <c r="AW517">
        <v>145600000</v>
      </c>
      <c r="AY517">
        <v>2912000000</v>
      </c>
      <c r="AZ517">
        <v>178650306.74846601</v>
      </c>
      <c r="BD517">
        <v>0.64</v>
      </c>
    </row>
    <row r="518" spans="1:56">
      <c r="A518" t="s">
        <v>751</v>
      </c>
      <c r="B518" t="s">
        <v>148</v>
      </c>
      <c r="C518">
        <v>2016</v>
      </c>
      <c r="E518">
        <v>2016</v>
      </c>
      <c r="F518" t="s">
        <v>27</v>
      </c>
      <c r="H518">
        <v>2690</v>
      </c>
      <c r="I518">
        <v>3</v>
      </c>
      <c r="U518">
        <v>20</v>
      </c>
      <c r="AD518" t="s">
        <v>33</v>
      </c>
      <c r="AF518">
        <v>1.058800564</v>
      </c>
      <c r="AG518">
        <v>8070</v>
      </c>
      <c r="AK518" t="s">
        <v>709</v>
      </c>
      <c r="AL518" t="s">
        <v>597</v>
      </c>
      <c r="AM518">
        <v>480.73439999999999</v>
      </c>
      <c r="AO518" t="s">
        <v>35</v>
      </c>
      <c r="AW518">
        <v>74850000</v>
      </c>
      <c r="AY518">
        <v>1497000000</v>
      </c>
      <c r="AZ518">
        <v>185501858.73605901</v>
      </c>
      <c r="BD518">
        <v>0.56999999999999995</v>
      </c>
    </row>
    <row r="519" spans="1:56">
      <c r="A519" t="s">
        <v>744</v>
      </c>
      <c r="B519" t="s">
        <v>176</v>
      </c>
      <c r="C519">
        <v>2016</v>
      </c>
      <c r="E519">
        <v>2016</v>
      </c>
      <c r="F519" t="s">
        <v>27</v>
      </c>
      <c r="H519">
        <v>1</v>
      </c>
      <c r="I519">
        <v>1</v>
      </c>
      <c r="J519" t="s">
        <v>177</v>
      </c>
      <c r="L519" t="s">
        <v>24</v>
      </c>
      <c r="N519">
        <v>12.4</v>
      </c>
      <c r="P519">
        <v>3.44</v>
      </c>
      <c r="AD519" t="s">
        <v>86</v>
      </c>
      <c r="AG519">
        <v>1</v>
      </c>
      <c r="AH519">
        <v>12396</v>
      </c>
      <c r="AK519" t="s">
        <v>709</v>
      </c>
      <c r="AL519" t="s">
        <v>597</v>
      </c>
      <c r="AM519">
        <v>480.73439999999999</v>
      </c>
      <c r="AQ519">
        <v>3443</v>
      </c>
      <c r="AS519">
        <v>1033</v>
      </c>
    </row>
    <row r="520" spans="1:56">
      <c r="A520" t="s">
        <v>744</v>
      </c>
      <c r="B520" t="s">
        <v>176</v>
      </c>
      <c r="C520">
        <v>2016</v>
      </c>
      <c r="E520">
        <v>2016</v>
      </c>
      <c r="F520" t="s">
        <v>27</v>
      </c>
      <c r="H520">
        <v>1.5</v>
      </c>
      <c r="I520">
        <v>1</v>
      </c>
      <c r="J520" t="s">
        <v>178</v>
      </c>
      <c r="L520" t="s">
        <v>24</v>
      </c>
      <c r="N520">
        <v>11.74</v>
      </c>
      <c r="P520">
        <v>3.26</v>
      </c>
      <c r="AD520" t="s">
        <v>86</v>
      </c>
      <c r="AG520">
        <v>1.5</v>
      </c>
      <c r="AH520">
        <v>17613</v>
      </c>
      <c r="AK520" t="s">
        <v>709</v>
      </c>
      <c r="AL520" t="s">
        <v>597</v>
      </c>
      <c r="AM520">
        <v>480.73439999999999</v>
      </c>
      <c r="AQ520">
        <v>4893</v>
      </c>
      <c r="AS520">
        <v>1467.8</v>
      </c>
    </row>
    <row r="521" spans="1:56">
      <c r="A521" t="s">
        <v>744</v>
      </c>
      <c r="B521" t="s">
        <v>176</v>
      </c>
      <c r="C521">
        <v>2016</v>
      </c>
      <c r="E521">
        <v>2016</v>
      </c>
      <c r="F521" t="s">
        <v>27</v>
      </c>
      <c r="H521">
        <v>10</v>
      </c>
      <c r="I521">
        <v>1</v>
      </c>
      <c r="J521" t="s">
        <v>179</v>
      </c>
      <c r="L521" t="s">
        <v>24</v>
      </c>
      <c r="N521">
        <v>9.4600000000000009</v>
      </c>
      <c r="P521">
        <v>2.63</v>
      </c>
      <c r="AD521" t="s">
        <v>86</v>
      </c>
      <c r="AG521">
        <v>10</v>
      </c>
      <c r="AH521">
        <v>94589</v>
      </c>
      <c r="AK521" t="s">
        <v>709</v>
      </c>
      <c r="AL521" t="s">
        <v>597</v>
      </c>
      <c r="AM521">
        <v>480.73439999999999</v>
      </c>
      <c r="AQ521">
        <v>26275</v>
      </c>
      <c r="AS521">
        <v>7882.4</v>
      </c>
    </row>
    <row r="522" spans="1:56">
      <c r="A522" t="s">
        <v>744</v>
      </c>
      <c r="B522" t="s">
        <v>176</v>
      </c>
      <c r="C522">
        <v>2016</v>
      </c>
      <c r="E522">
        <v>2016</v>
      </c>
      <c r="F522" t="s">
        <v>27</v>
      </c>
      <c r="H522">
        <v>0.6</v>
      </c>
      <c r="I522">
        <v>1</v>
      </c>
      <c r="J522" t="s">
        <v>181</v>
      </c>
      <c r="L522" t="s">
        <v>24</v>
      </c>
      <c r="N522">
        <v>21.46</v>
      </c>
      <c r="P522">
        <v>5.96</v>
      </c>
      <c r="AD522" t="s">
        <v>86</v>
      </c>
      <c r="AG522">
        <v>0.6</v>
      </c>
      <c r="AH522">
        <v>12874</v>
      </c>
      <c r="AK522" t="s">
        <v>709</v>
      </c>
      <c r="AL522" t="s">
        <v>597</v>
      </c>
      <c r="AM522">
        <v>480.73439999999999</v>
      </c>
      <c r="AQ522">
        <v>3576</v>
      </c>
      <c r="AS522">
        <v>1072.8</v>
      </c>
    </row>
    <row r="523" spans="1:56">
      <c r="A523" t="s">
        <v>744</v>
      </c>
      <c r="B523" t="s">
        <v>176</v>
      </c>
      <c r="C523">
        <v>2016</v>
      </c>
      <c r="E523">
        <v>2016</v>
      </c>
      <c r="F523" t="s">
        <v>27</v>
      </c>
      <c r="H523">
        <v>2.5</v>
      </c>
      <c r="I523">
        <v>1</v>
      </c>
      <c r="J523" t="s">
        <v>182</v>
      </c>
      <c r="L523" t="s">
        <v>24</v>
      </c>
      <c r="N523">
        <v>11.7</v>
      </c>
      <c r="P523">
        <v>3.25</v>
      </c>
      <c r="AD523" t="s">
        <v>86</v>
      </c>
      <c r="AG523">
        <v>2.5</v>
      </c>
      <c r="AH523">
        <v>29240</v>
      </c>
      <c r="AK523" t="s">
        <v>709</v>
      </c>
      <c r="AL523" t="s">
        <v>597</v>
      </c>
      <c r="AM523">
        <v>480.73439999999999</v>
      </c>
      <c r="AQ523">
        <v>8122</v>
      </c>
      <c r="AS523">
        <v>2436.6999999999998</v>
      </c>
    </row>
    <row r="524" spans="1:56">
      <c r="A524" t="s">
        <v>744</v>
      </c>
      <c r="B524" t="s">
        <v>176</v>
      </c>
      <c r="C524">
        <v>2016</v>
      </c>
      <c r="E524">
        <v>2016</v>
      </c>
      <c r="F524" t="s">
        <v>27</v>
      </c>
      <c r="H524">
        <v>6</v>
      </c>
      <c r="I524">
        <v>1</v>
      </c>
      <c r="J524" t="s">
        <v>183</v>
      </c>
      <c r="L524" t="s">
        <v>24</v>
      </c>
      <c r="N524">
        <v>11.05</v>
      </c>
      <c r="P524">
        <v>3.07</v>
      </c>
      <c r="AD524" t="s">
        <v>86</v>
      </c>
      <c r="AG524">
        <v>6</v>
      </c>
      <c r="AH524">
        <v>66281</v>
      </c>
      <c r="AK524" t="s">
        <v>709</v>
      </c>
      <c r="AL524" t="s">
        <v>597</v>
      </c>
      <c r="AM524">
        <v>480.73439999999999</v>
      </c>
      <c r="AQ524">
        <v>18411</v>
      </c>
      <c r="AS524">
        <v>5523.4</v>
      </c>
    </row>
    <row r="525" spans="1:56">
      <c r="A525" t="s">
        <v>744</v>
      </c>
      <c r="B525" t="s">
        <v>176</v>
      </c>
      <c r="C525">
        <v>2016</v>
      </c>
      <c r="E525">
        <v>2016</v>
      </c>
      <c r="F525" t="s">
        <v>27</v>
      </c>
      <c r="H525">
        <v>15</v>
      </c>
      <c r="I525">
        <v>1</v>
      </c>
      <c r="J525" t="s">
        <v>184</v>
      </c>
      <c r="L525" t="s">
        <v>24</v>
      </c>
      <c r="N525">
        <v>10.130000000000001</v>
      </c>
      <c r="P525">
        <v>2.81</v>
      </c>
      <c r="AD525" t="s">
        <v>86</v>
      </c>
      <c r="AG525">
        <v>15</v>
      </c>
      <c r="AH525">
        <v>151990</v>
      </c>
      <c r="AK525" t="s">
        <v>709</v>
      </c>
      <c r="AL525" t="s">
        <v>597</v>
      </c>
      <c r="AM525">
        <v>480.73439999999999</v>
      </c>
      <c r="AQ525">
        <v>42219</v>
      </c>
      <c r="AS525">
        <v>12665.8</v>
      </c>
    </row>
    <row r="526" spans="1:56">
      <c r="A526" t="s">
        <v>744</v>
      </c>
      <c r="B526" t="s">
        <v>176</v>
      </c>
      <c r="C526">
        <v>2016</v>
      </c>
      <c r="E526">
        <v>2016</v>
      </c>
      <c r="F526" t="s">
        <v>27</v>
      </c>
      <c r="H526">
        <v>0.6</v>
      </c>
      <c r="I526">
        <v>1</v>
      </c>
      <c r="J526" t="s">
        <v>185</v>
      </c>
      <c r="L526" t="s">
        <v>24</v>
      </c>
      <c r="N526">
        <v>11.36</v>
      </c>
      <c r="P526">
        <v>3.16</v>
      </c>
      <c r="AD526" t="s">
        <v>86</v>
      </c>
      <c r="AG526">
        <v>0.6</v>
      </c>
      <c r="AH526">
        <v>6819</v>
      </c>
      <c r="AK526" t="s">
        <v>709</v>
      </c>
      <c r="AL526" t="s">
        <v>597</v>
      </c>
      <c r="AM526">
        <v>480.73439999999999</v>
      </c>
      <c r="AQ526">
        <v>1894</v>
      </c>
      <c r="AS526">
        <v>568.20000000000005</v>
      </c>
    </row>
    <row r="527" spans="1:56">
      <c r="A527" t="s">
        <v>744</v>
      </c>
      <c r="B527" t="s">
        <v>176</v>
      </c>
      <c r="C527">
        <v>2016</v>
      </c>
      <c r="E527">
        <v>2016</v>
      </c>
      <c r="F527" t="s">
        <v>27</v>
      </c>
      <c r="H527">
        <v>1</v>
      </c>
      <c r="I527">
        <v>1</v>
      </c>
      <c r="J527" t="s">
        <v>186</v>
      </c>
      <c r="L527" t="s">
        <v>24</v>
      </c>
      <c r="N527">
        <v>9.3800000000000008</v>
      </c>
      <c r="P527">
        <v>2.6</v>
      </c>
      <c r="AD527" t="s">
        <v>86</v>
      </c>
      <c r="AG527">
        <v>1</v>
      </c>
      <c r="AH527">
        <v>9376</v>
      </c>
      <c r="AK527" t="s">
        <v>709</v>
      </c>
      <c r="AL527" t="s">
        <v>597</v>
      </c>
      <c r="AM527">
        <v>480.73439999999999</v>
      </c>
      <c r="AQ527">
        <v>2605</v>
      </c>
      <c r="AS527">
        <v>781.4</v>
      </c>
    </row>
    <row r="528" spans="1:56">
      <c r="A528" t="s">
        <v>744</v>
      </c>
      <c r="B528" t="s">
        <v>176</v>
      </c>
      <c r="C528">
        <v>2016</v>
      </c>
      <c r="E528">
        <v>2016</v>
      </c>
      <c r="F528" t="s">
        <v>27</v>
      </c>
      <c r="H528">
        <v>0.4</v>
      </c>
      <c r="I528">
        <v>1</v>
      </c>
      <c r="J528" t="s">
        <v>187</v>
      </c>
      <c r="L528" t="s">
        <v>24</v>
      </c>
      <c r="N528">
        <v>13.28</v>
      </c>
      <c r="P528">
        <v>3.69</v>
      </c>
      <c r="AD528" t="s">
        <v>86</v>
      </c>
      <c r="AG528">
        <v>0.4</v>
      </c>
      <c r="AH528">
        <v>5312</v>
      </c>
      <c r="AK528" t="s">
        <v>709</v>
      </c>
      <c r="AL528" t="s">
        <v>597</v>
      </c>
      <c r="AM528">
        <v>480.73439999999999</v>
      </c>
      <c r="AQ528">
        <v>1475</v>
      </c>
      <c r="AS528">
        <v>442.6</v>
      </c>
    </row>
    <row r="529" spans="1:45">
      <c r="A529" t="s">
        <v>744</v>
      </c>
      <c r="B529" t="s">
        <v>176</v>
      </c>
      <c r="C529">
        <v>2016</v>
      </c>
      <c r="E529">
        <v>2016</v>
      </c>
      <c r="F529" t="s">
        <v>27</v>
      </c>
      <c r="H529">
        <v>0.6</v>
      </c>
      <c r="I529">
        <v>1</v>
      </c>
      <c r="J529" t="s">
        <v>188</v>
      </c>
      <c r="L529" t="s">
        <v>24</v>
      </c>
      <c r="N529">
        <v>10.87</v>
      </c>
      <c r="P529">
        <v>3.02</v>
      </c>
      <c r="AD529" t="s">
        <v>86</v>
      </c>
      <c r="AG529">
        <v>0.6</v>
      </c>
      <c r="AH529">
        <v>6523</v>
      </c>
      <c r="AK529" t="s">
        <v>709</v>
      </c>
      <c r="AL529" t="s">
        <v>597</v>
      </c>
      <c r="AM529">
        <v>480.73439999999999</v>
      </c>
      <c r="AQ529">
        <v>1812</v>
      </c>
      <c r="AS529">
        <v>543.6</v>
      </c>
    </row>
    <row r="530" spans="1:45">
      <c r="A530" t="s">
        <v>744</v>
      </c>
      <c r="B530" t="s">
        <v>176</v>
      </c>
      <c r="C530">
        <v>2016</v>
      </c>
      <c r="E530">
        <v>2016</v>
      </c>
      <c r="F530" t="s">
        <v>27</v>
      </c>
      <c r="H530">
        <v>1</v>
      </c>
      <c r="I530">
        <v>1</v>
      </c>
      <c r="J530" t="s">
        <v>189</v>
      </c>
      <c r="L530" t="s">
        <v>24</v>
      </c>
      <c r="N530">
        <v>8.6300000000000008</v>
      </c>
      <c r="P530">
        <v>2.4</v>
      </c>
      <c r="AD530" t="s">
        <v>86</v>
      </c>
      <c r="AG530">
        <v>1</v>
      </c>
      <c r="AH530">
        <v>8632</v>
      </c>
      <c r="AK530" t="s">
        <v>709</v>
      </c>
      <c r="AL530" t="s">
        <v>597</v>
      </c>
      <c r="AM530">
        <v>480.73439999999999</v>
      </c>
      <c r="AQ530">
        <v>2398</v>
      </c>
      <c r="AS530">
        <v>719.3</v>
      </c>
    </row>
    <row r="531" spans="1:45">
      <c r="A531" t="s">
        <v>744</v>
      </c>
      <c r="B531" t="s">
        <v>176</v>
      </c>
      <c r="C531">
        <v>2016</v>
      </c>
      <c r="E531">
        <v>2016</v>
      </c>
      <c r="F531" t="s">
        <v>27</v>
      </c>
      <c r="H531">
        <v>1.5</v>
      </c>
      <c r="I531">
        <v>1</v>
      </c>
      <c r="J531" t="s">
        <v>190</v>
      </c>
      <c r="L531" t="s">
        <v>24</v>
      </c>
      <c r="N531">
        <v>7.52</v>
      </c>
      <c r="P531">
        <v>2.09</v>
      </c>
      <c r="AD531" t="s">
        <v>86</v>
      </c>
      <c r="AG531">
        <v>1.5</v>
      </c>
      <c r="AH531">
        <v>11280</v>
      </c>
      <c r="AK531" t="s">
        <v>709</v>
      </c>
      <c r="AL531" t="s">
        <v>597</v>
      </c>
      <c r="AM531">
        <v>480.73439999999999</v>
      </c>
      <c r="AQ531">
        <v>3133</v>
      </c>
      <c r="AS531">
        <v>940</v>
      </c>
    </row>
    <row r="532" spans="1:45">
      <c r="A532" t="s">
        <v>744</v>
      </c>
      <c r="B532" t="s">
        <v>176</v>
      </c>
      <c r="C532">
        <v>2016</v>
      </c>
      <c r="E532">
        <v>2016</v>
      </c>
      <c r="F532" t="s">
        <v>27</v>
      </c>
      <c r="H532">
        <v>3</v>
      </c>
      <c r="I532">
        <v>1</v>
      </c>
      <c r="J532" t="s">
        <v>191</v>
      </c>
      <c r="L532" t="s">
        <v>24</v>
      </c>
      <c r="N532">
        <v>7.03</v>
      </c>
      <c r="P532">
        <v>1.95</v>
      </c>
      <c r="AD532" t="s">
        <v>86</v>
      </c>
      <c r="AG532">
        <v>3</v>
      </c>
      <c r="AH532">
        <v>21086</v>
      </c>
      <c r="AK532" t="s">
        <v>709</v>
      </c>
      <c r="AL532" t="s">
        <v>597</v>
      </c>
      <c r="AM532">
        <v>480.73439999999999</v>
      </c>
      <c r="AQ532">
        <v>5857</v>
      </c>
      <c r="AS532">
        <v>1757.2</v>
      </c>
    </row>
    <row r="533" spans="1:45">
      <c r="A533" t="s">
        <v>744</v>
      </c>
      <c r="B533" t="s">
        <v>176</v>
      </c>
      <c r="C533">
        <v>2016</v>
      </c>
      <c r="E533">
        <v>2016</v>
      </c>
      <c r="F533" t="s">
        <v>27</v>
      </c>
      <c r="H533">
        <v>0.9</v>
      </c>
      <c r="I533">
        <v>1</v>
      </c>
      <c r="J533" t="s">
        <v>192</v>
      </c>
      <c r="L533" t="s">
        <v>24</v>
      </c>
      <c r="N533">
        <v>10.47</v>
      </c>
      <c r="P533">
        <v>2.91</v>
      </c>
      <c r="AD533" t="s">
        <v>86</v>
      </c>
      <c r="AG533">
        <v>0.9</v>
      </c>
      <c r="AH533">
        <v>9419</v>
      </c>
      <c r="AK533" t="s">
        <v>709</v>
      </c>
      <c r="AL533" t="s">
        <v>597</v>
      </c>
      <c r="AM533">
        <v>480.73439999999999</v>
      </c>
      <c r="AQ533">
        <v>2616</v>
      </c>
      <c r="AS533">
        <v>784.9</v>
      </c>
    </row>
    <row r="534" spans="1:45">
      <c r="A534" t="s">
        <v>744</v>
      </c>
      <c r="B534" t="s">
        <v>176</v>
      </c>
      <c r="C534">
        <v>2016</v>
      </c>
      <c r="E534">
        <v>2016</v>
      </c>
      <c r="F534" t="s">
        <v>27</v>
      </c>
      <c r="H534">
        <v>1</v>
      </c>
      <c r="I534">
        <v>1</v>
      </c>
      <c r="J534" t="s">
        <v>193</v>
      </c>
      <c r="L534" t="s">
        <v>24</v>
      </c>
      <c r="N534">
        <v>11.14</v>
      </c>
      <c r="P534">
        <v>3.09</v>
      </c>
      <c r="AD534" t="s">
        <v>86</v>
      </c>
      <c r="AG534">
        <v>1</v>
      </c>
      <c r="AH534">
        <v>11135</v>
      </c>
      <c r="AK534" t="s">
        <v>709</v>
      </c>
      <c r="AL534" t="s">
        <v>597</v>
      </c>
      <c r="AM534">
        <v>480.73439999999999</v>
      </c>
      <c r="AQ534">
        <v>3093</v>
      </c>
      <c r="AS534">
        <v>927.9</v>
      </c>
    </row>
    <row r="535" spans="1:45">
      <c r="A535" t="s">
        <v>744</v>
      </c>
      <c r="B535" t="s">
        <v>176</v>
      </c>
      <c r="C535">
        <v>2016</v>
      </c>
      <c r="E535">
        <v>2016</v>
      </c>
      <c r="F535" t="s">
        <v>27</v>
      </c>
      <c r="H535">
        <v>3</v>
      </c>
      <c r="I535">
        <v>1</v>
      </c>
      <c r="J535" t="s">
        <v>194</v>
      </c>
      <c r="L535" t="s">
        <v>24</v>
      </c>
      <c r="N535">
        <v>8.51</v>
      </c>
      <c r="P535">
        <v>2.36</v>
      </c>
      <c r="AD535" t="s">
        <v>86</v>
      </c>
      <c r="AG535">
        <v>3</v>
      </c>
      <c r="AH535">
        <v>25541</v>
      </c>
      <c r="AK535" t="s">
        <v>709</v>
      </c>
      <c r="AL535" t="s">
        <v>597</v>
      </c>
      <c r="AM535">
        <v>480.73439999999999</v>
      </c>
      <c r="AQ535">
        <v>7095</v>
      </c>
      <c r="AS535">
        <v>2128.4</v>
      </c>
    </row>
    <row r="536" spans="1:45">
      <c r="A536" t="s">
        <v>744</v>
      </c>
      <c r="B536" t="s">
        <v>176</v>
      </c>
      <c r="C536">
        <v>2016</v>
      </c>
      <c r="E536">
        <v>2016</v>
      </c>
      <c r="F536" t="s">
        <v>27</v>
      </c>
      <c r="H536">
        <v>2.5</v>
      </c>
      <c r="I536">
        <v>1</v>
      </c>
      <c r="J536" t="s">
        <v>195</v>
      </c>
      <c r="L536" t="s">
        <v>24</v>
      </c>
      <c r="N536">
        <v>15.53</v>
      </c>
      <c r="P536">
        <v>4.3099999999999996</v>
      </c>
      <c r="AD536" t="s">
        <v>86</v>
      </c>
      <c r="AG536">
        <v>2.5</v>
      </c>
      <c r="AH536">
        <v>38830</v>
      </c>
      <c r="AK536" t="s">
        <v>709</v>
      </c>
      <c r="AL536" t="s">
        <v>597</v>
      </c>
      <c r="AM536">
        <v>480.73439999999999</v>
      </c>
      <c r="AQ536">
        <v>10786</v>
      </c>
      <c r="AS536">
        <v>3235.8</v>
      </c>
    </row>
    <row r="537" spans="1:45">
      <c r="A537" t="s">
        <v>744</v>
      </c>
      <c r="B537" t="s">
        <v>176</v>
      </c>
      <c r="C537">
        <v>2016</v>
      </c>
      <c r="E537">
        <v>2016</v>
      </c>
      <c r="F537" t="s">
        <v>27</v>
      </c>
      <c r="H537">
        <v>5.2</v>
      </c>
      <c r="I537">
        <v>1</v>
      </c>
      <c r="J537" t="s">
        <v>90</v>
      </c>
      <c r="L537" t="s">
        <v>24</v>
      </c>
      <c r="N537">
        <v>14.92</v>
      </c>
      <c r="P537">
        <v>4.1399999999999997</v>
      </c>
      <c r="AD537" t="s">
        <v>86</v>
      </c>
      <c r="AG537">
        <v>5.2</v>
      </c>
      <c r="AH537">
        <v>77582</v>
      </c>
      <c r="AK537" t="s">
        <v>709</v>
      </c>
      <c r="AL537" t="s">
        <v>597</v>
      </c>
      <c r="AM537">
        <v>480.73439999999999</v>
      </c>
      <c r="AQ537">
        <v>21551</v>
      </c>
      <c r="AS537">
        <v>6465.2</v>
      </c>
    </row>
    <row r="538" spans="1:45">
      <c r="A538" t="s">
        <v>744</v>
      </c>
      <c r="B538" t="s">
        <v>176</v>
      </c>
      <c r="C538">
        <v>2016</v>
      </c>
      <c r="E538">
        <v>2016</v>
      </c>
      <c r="F538" t="s">
        <v>27</v>
      </c>
      <c r="H538">
        <v>15</v>
      </c>
      <c r="I538">
        <v>1</v>
      </c>
      <c r="J538" t="s">
        <v>196</v>
      </c>
      <c r="L538" t="s">
        <v>24</v>
      </c>
      <c r="N538">
        <v>11.52</v>
      </c>
      <c r="P538">
        <v>3.2</v>
      </c>
      <c r="AD538" t="s">
        <v>86</v>
      </c>
      <c r="AG538">
        <v>15</v>
      </c>
      <c r="AH538">
        <v>172760</v>
      </c>
      <c r="AK538" t="s">
        <v>709</v>
      </c>
      <c r="AL538" t="s">
        <v>597</v>
      </c>
      <c r="AM538">
        <v>480.73439999999999</v>
      </c>
      <c r="AQ538">
        <v>47989</v>
      </c>
      <c r="AS538">
        <v>14396.7</v>
      </c>
    </row>
    <row r="539" spans="1:45">
      <c r="A539" t="s">
        <v>744</v>
      </c>
      <c r="B539" t="s">
        <v>176</v>
      </c>
      <c r="C539">
        <v>2016</v>
      </c>
      <c r="E539">
        <v>2016</v>
      </c>
      <c r="F539" t="s">
        <v>27</v>
      </c>
      <c r="H539">
        <v>0.6</v>
      </c>
      <c r="I539">
        <v>1</v>
      </c>
      <c r="J539" t="s">
        <v>197</v>
      </c>
      <c r="L539" t="s">
        <v>24</v>
      </c>
      <c r="N539">
        <v>11.3</v>
      </c>
      <c r="P539">
        <v>3.14</v>
      </c>
      <c r="AD539" t="s">
        <v>86</v>
      </c>
      <c r="AG539">
        <v>0.6</v>
      </c>
      <c r="AH539">
        <v>6779</v>
      </c>
      <c r="AK539" t="s">
        <v>709</v>
      </c>
      <c r="AL539" t="s">
        <v>597</v>
      </c>
      <c r="AM539">
        <v>480.73439999999999</v>
      </c>
      <c r="AQ539">
        <v>1883</v>
      </c>
      <c r="AS539">
        <v>564.9</v>
      </c>
    </row>
    <row r="540" spans="1:45">
      <c r="A540" t="s">
        <v>744</v>
      </c>
      <c r="B540" t="s">
        <v>176</v>
      </c>
      <c r="C540">
        <v>2016</v>
      </c>
      <c r="E540">
        <v>2016</v>
      </c>
      <c r="F540" t="s">
        <v>27</v>
      </c>
      <c r="H540">
        <v>0.8</v>
      </c>
      <c r="I540">
        <v>1</v>
      </c>
      <c r="J540" t="s">
        <v>198</v>
      </c>
      <c r="L540" t="s">
        <v>24</v>
      </c>
      <c r="N540">
        <v>11.52</v>
      </c>
      <c r="P540">
        <v>3.2</v>
      </c>
      <c r="AD540" t="s">
        <v>86</v>
      </c>
      <c r="AG540">
        <v>0.8</v>
      </c>
      <c r="AH540">
        <v>9214</v>
      </c>
      <c r="AK540" t="s">
        <v>709</v>
      </c>
      <c r="AL540" t="s">
        <v>597</v>
      </c>
      <c r="AM540">
        <v>480.73439999999999</v>
      </c>
      <c r="AQ540">
        <v>2559</v>
      </c>
      <c r="AS540">
        <v>767.8</v>
      </c>
    </row>
    <row r="541" spans="1:45">
      <c r="A541" t="s">
        <v>744</v>
      </c>
      <c r="B541" t="s">
        <v>176</v>
      </c>
      <c r="C541">
        <v>2016</v>
      </c>
      <c r="E541">
        <v>2016</v>
      </c>
      <c r="F541" t="s">
        <v>27</v>
      </c>
      <c r="H541">
        <v>1</v>
      </c>
      <c r="I541">
        <v>1</v>
      </c>
      <c r="J541" t="s">
        <v>199</v>
      </c>
      <c r="L541" t="s">
        <v>24</v>
      </c>
      <c r="N541">
        <v>12.74</v>
      </c>
      <c r="P541">
        <v>3.54</v>
      </c>
      <c r="AD541" t="s">
        <v>86</v>
      </c>
      <c r="AG541">
        <v>1</v>
      </c>
      <c r="AH541">
        <v>12738</v>
      </c>
      <c r="AK541" t="s">
        <v>709</v>
      </c>
      <c r="AL541" t="s">
        <v>597</v>
      </c>
      <c r="AM541">
        <v>480.73439999999999</v>
      </c>
      <c r="AQ541">
        <v>3538</v>
      </c>
      <c r="AS541">
        <v>1061.5</v>
      </c>
    </row>
    <row r="542" spans="1:45">
      <c r="A542" t="s">
        <v>744</v>
      </c>
      <c r="B542" t="s">
        <v>176</v>
      </c>
      <c r="C542">
        <v>2016</v>
      </c>
      <c r="E542">
        <v>2016</v>
      </c>
      <c r="F542" t="s">
        <v>27</v>
      </c>
      <c r="H542">
        <v>3</v>
      </c>
      <c r="I542">
        <v>1</v>
      </c>
      <c r="J542" t="s">
        <v>200</v>
      </c>
      <c r="L542" t="s">
        <v>24</v>
      </c>
      <c r="N542">
        <v>10.6</v>
      </c>
      <c r="P542">
        <v>2.94</v>
      </c>
      <c r="AD542" t="s">
        <v>86</v>
      </c>
      <c r="AG542">
        <v>3</v>
      </c>
      <c r="AH542">
        <v>31793</v>
      </c>
      <c r="AK542" t="s">
        <v>709</v>
      </c>
      <c r="AL542" t="s">
        <v>597</v>
      </c>
      <c r="AM542">
        <v>480.73439999999999</v>
      </c>
      <c r="AQ542">
        <v>8831</v>
      </c>
      <c r="AS542">
        <v>2649.4</v>
      </c>
    </row>
    <row r="543" spans="1:45">
      <c r="A543" t="s">
        <v>744</v>
      </c>
      <c r="B543" t="s">
        <v>176</v>
      </c>
      <c r="C543">
        <v>2016</v>
      </c>
      <c r="E543">
        <v>2016</v>
      </c>
      <c r="F543" t="s">
        <v>27</v>
      </c>
      <c r="H543">
        <v>0.3</v>
      </c>
      <c r="I543">
        <v>1</v>
      </c>
      <c r="J543" t="s">
        <v>201</v>
      </c>
      <c r="L543" t="s">
        <v>24</v>
      </c>
      <c r="N543">
        <v>12.13</v>
      </c>
      <c r="P543">
        <v>3.37</v>
      </c>
      <c r="AD543" t="s">
        <v>86</v>
      </c>
      <c r="AG543">
        <v>0.3</v>
      </c>
      <c r="AH543">
        <v>3640</v>
      </c>
      <c r="AK543" t="s">
        <v>709</v>
      </c>
      <c r="AL543" t="s">
        <v>597</v>
      </c>
      <c r="AM543">
        <v>480.73439999999999</v>
      </c>
      <c r="AQ543">
        <v>1011</v>
      </c>
      <c r="AS543">
        <v>303.39999999999998</v>
      </c>
    </row>
    <row r="544" spans="1:45">
      <c r="A544" t="s">
        <v>744</v>
      </c>
      <c r="B544" t="s">
        <v>176</v>
      </c>
      <c r="C544">
        <v>2016</v>
      </c>
      <c r="E544">
        <v>2016</v>
      </c>
      <c r="F544" t="s">
        <v>27</v>
      </c>
      <c r="H544">
        <v>0.6</v>
      </c>
      <c r="I544">
        <v>1</v>
      </c>
      <c r="J544" t="s">
        <v>202</v>
      </c>
      <c r="L544" t="s">
        <v>24</v>
      </c>
      <c r="N544">
        <v>9.09</v>
      </c>
      <c r="P544">
        <v>2.5299999999999998</v>
      </c>
      <c r="AD544" t="s">
        <v>86</v>
      </c>
      <c r="AG544">
        <v>0.6</v>
      </c>
      <c r="AH544">
        <v>5455</v>
      </c>
      <c r="AK544" t="s">
        <v>709</v>
      </c>
      <c r="AL544" t="s">
        <v>597</v>
      </c>
      <c r="AM544">
        <v>480.73439999999999</v>
      </c>
      <c r="AQ544">
        <v>1515</v>
      </c>
      <c r="AS544">
        <v>454.6</v>
      </c>
    </row>
    <row r="545" spans="1:56">
      <c r="A545" t="s">
        <v>744</v>
      </c>
      <c r="B545" t="s">
        <v>176</v>
      </c>
      <c r="C545">
        <v>2016</v>
      </c>
      <c r="E545">
        <v>2016</v>
      </c>
      <c r="F545" t="s">
        <v>27</v>
      </c>
      <c r="H545">
        <v>2</v>
      </c>
      <c r="I545">
        <v>1</v>
      </c>
      <c r="J545" t="s">
        <v>203</v>
      </c>
      <c r="L545" t="s">
        <v>24</v>
      </c>
      <c r="N545">
        <v>7.19</v>
      </c>
      <c r="P545">
        <v>2</v>
      </c>
      <c r="AD545" t="s">
        <v>86</v>
      </c>
      <c r="AG545">
        <v>2</v>
      </c>
      <c r="AH545">
        <v>14375</v>
      </c>
      <c r="AK545" t="s">
        <v>709</v>
      </c>
      <c r="AL545" t="s">
        <v>597</v>
      </c>
      <c r="AM545">
        <v>480.73439999999999</v>
      </c>
      <c r="AQ545">
        <v>3993</v>
      </c>
      <c r="AS545">
        <v>1197.9000000000001</v>
      </c>
    </row>
    <row r="546" spans="1:56">
      <c r="A546" t="s">
        <v>735</v>
      </c>
      <c r="B546" t="s">
        <v>108</v>
      </c>
      <c r="C546">
        <v>2016</v>
      </c>
      <c r="E546">
        <v>2016</v>
      </c>
      <c r="F546" t="s">
        <v>109</v>
      </c>
      <c r="G546" t="s">
        <v>19</v>
      </c>
      <c r="H546">
        <v>2000</v>
      </c>
      <c r="I546">
        <v>24</v>
      </c>
      <c r="L546" t="s">
        <v>24</v>
      </c>
      <c r="Q546">
        <v>14490000</v>
      </c>
      <c r="S546">
        <v>0.3</v>
      </c>
      <c r="U546">
        <v>20</v>
      </c>
      <c r="AD546" t="s">
        <v>33</v>
      </c>
      <c r="AF546">
        <v>0.30270167399999998</v>
      </c>
      <c r="AG546">
        <v>48000</v>
      </c>
      <c r="AK546" t="s">
        <v>709</v>
      </c>
      <c r="AL546" t="s">
        <v>597</v>
      </c>
      <c r="AM546">
        <v>480.73439999999999</v>
      </c>
      <c r="AO546" t="s">
        <v>20</v>
      </c>
      <c r="AW546">
        <v>127280000</v>
      </c>
      <c r="AY546">
        <v>2545600000</v>
      </c>
      <c r="AZ546">
        <v>53033333.333333299</v>
      </c>
      <c r="BD546">
        <v>5.69</v>
      </c>
    </row>
    <row r="547" spans="1:56">
      <c r="A547" t="s">
        <v>733</v>
      </c>
      <c r="B547" t="s">
        <v>26</v>
      </c>
      <c r="C547">
        <v>2016</v>
      </c>
      <c r="E547">
        <v>2016</v>
      </c>
      <c r="F547" t="s">
        <v>27</v>
      </c>
      <c r="G547" t="s">
        <v>236</v>
      </c>
      <c r="H547">
        <v>6</v>
      </c>
      <c r="I547">
        <v>2</v>
      </c>
      <c r="L547" t="s">
        <v>24</v>
      </c>
      <c r="Q547">
        <v>565446882</v>
      </c>
      <c r="S547">
        <v>47120.57</v>
      </c>
      <c r="U547">
        <v>20</v>
      </c>
      <c r="AB547" t="s">
        <v>237</v>
      </c>
      <c r="AD547" t="s">
        <v>33</v>
      </c>
      <c r="AF547">
        <v>9.52245E-4</v>
      </c>
      <c r="AG547">
        <v>12</v>
      </c>
      <c r="AK547" t="s">
        <v>709</v>
      </c>
      <c r="AL547" t="s">
        <v>597</v>
      </c>
      <c r="AM547">
        <v>480.73439999999999</v>
      </c>
      <c r="AO547" t="s">
        <v>20</v>
      </c>
      <c r="AW547">
        <v>100.1</v>
      </c>
      <c r="AY547">
        <v>2002</v>
      </c>
      <c r="AZ547">
        <v>166833.33333333299</v>
      </c>
      <c r="BD547">
        <v>282441</v>
      </c>
    </row>
    <row r="548" spans="1:56">
      <c r="A548" t="s">
        <v>717</v>
      </c>
      <c r="B548" t="s">
        <v>80</v>
      </c>
      <c r="C548">
        <v>2016</v>
      </c>
      <c r="E548">
        <v>2016</v>
      </c>
      <c r="F548" t="s">
        <v>27</v>
      </c>
      <c r="G548" t="s">
        <v>81</v>
      </c>
      <c r="H548">
        <v>1935.483870968</v>
      </c>
      <c r="I548">
        <v>682</v>
      </c>
      <c r="J548" t="s">
        <v>302</v>
      </c>
      <c r="L548" t="s">
        <v>24</v>
      </c>
      <c r="Q548">
        <v>425736000</v>
      </c>
      <c r="S548">
        <v>0.32</v>
      </c>
      <c r="U548">
        <v>20</v>
      </c>
      <c r="AD548" t="s">
        <v>86</v>
      </c>
      <c r="AF548">
        <v>0.25217932799999998</v>
      </c>
      <c r="AG548">
        <v>1320000</v>
      </c>
      <c r="AK548" t="s">
        <v>709</v>
      </c>
      <c r="AL548" t="s">
        <v>597</v>
      </c>
      <c r="AM548">
        <v>480.73439999999999</v>
      </c>
      <c r="AO548" t="s">
        <v>20</v>
      </c>
      <c r="AW548">
        <v>2916000000</v>
      </c>
      <c r="AY548">
        <v>58320000000</v>
      </c>
      <c r="AZ548">
        <v>44181818.181818202</v>
      </c>
      <c r="BD548">
        <v>7.3</v>
      </c>
    </row>
    <row r="549" spans="1:56">
      <c r="A549" t="s">
        <v>712</v>
      </c>
      <c r="B549" t="s">
        <v>323</v>
      </c>
      <c r="C549">
        <v>2016</v>
      </c>
      <c r="E549">
        <v>2016</v>
      </c>
      <c r="F549" t="s">
        <v>27</v>
      </c>
      <c r="G549" t="s">
        <v>324</v>
      </c>
      <c r="H549">
        <v>4500</v>
      </c>
      <c r="I549">
        <v>1</v>
      </c>
      <c r="J549" t="s">
        <v>325</v>
      </c>
      <c r="L549" t="s">
        <v>24</v>
      </c>
      <c r="M549">
        <v>120</v>
      </c>
      <c r="Q549">
        <v>4860000</v>
      </c>
      <c r="S549">
        <v>1.08</v>
      </c>
      <c r="U549">
        <v>20</v>
      </c>
      <c r="AF549">
        <v>0.136986301</v>
      </c>
      <c r="AG549">
        <v>4500</v>
      </c>
      <c r="AK549" t="s">
        <v>709</v>
      </c>
      <c r="AL549" t="s">
        <v>597</v>
      </c>
      <c r="AM549">
        <v>480.73439999999999</v>
      </c>
      <c r="AO549" t="s">
        <v>35</v>
      </c>
      <c r="AW549">
        <v>5400000</v>
      </c>
      <c r="AY549">
        <v>108000000</v>
      </c>
      <c r="AZ549">
        <v>24000000</v>
      </c>
      <c r="BD549">
        <v>45</v>
      </c>
    </row>
    <row r="550" spans="1:56">
      <c r="A550" t="s">
        <v>673</v>
      </c>
      <c r="B550" t="s">
        <v>533</v>
      </c>
      <c r="C550">
        <v>2016</v>
      </c>
      <c r="E550">
        <v>2016</v>
      </c>
      <c r="H550">
        <v>2300</v>
      </c>
      <c r="I550">
        <v>1</v>
      </c>
      <c r="J550" t="s">
        <v>545</v>
      </c>
      <c r="L550" t="s">
        <v>24</v>
      </c>
      <c r="Q550">
        <v>1307605</v>
      </c>
      <c r="S550">
        <v>0.56999999999999995</v>
      </c>
      <c r="U550">
        <v>20</v>
      </c>
      <c r="AE550">
        <v>108</v>
      </c>
      <c r="AF550">
        <v>0.55000000000000004</v>
      </c>
      <c r="AG550">
        <v>2300</v>
      </c>
      <c r="AK550" t="s">
        <v>643</v>
      </c>
      <c r="AL550" t="s">
        <v>597</v>
      </c>
      <c r="AM550">
        <v>480.73439999999999</v>
      </c>
      <c r="AW550">
        <v>11081400</v>
      </c>
      <c r="AY550">
        <v>221628000</v>
      </c>
      <c r="AZ550">
        <v>96360000</v>
      </c>
      <c r="BD550">
        <v>5.9</v>
      </c>
    </row>
    <row r="551" spans="1:56">
      <c r="A551" t="s">
        <v>673</v>
      </c>
      <c r="B551" t="s">
        <v>533</v>
      </c>
      <c r="C551">
        <v>2016</v>
      </c>
      <c r="E551">
        <v>2016</v>
      </c>
      <c r="H551">
        <v>3200</v>
      </c>
      <c r="I551">
        <v>1</v>
      </c>
      <c r="J551" t="s">
        <v>545</v>
      </c>
      <c r="L551" t="s">
        <v>24</v>
      </c>
      <c r="Q551">
        <v>1429632</v>
      </c>
      <c r="S551">
        <v>0.45</v>
      </c>
      <c r="U551">
        <v>20</v>
      </c>
      <c r="AE551">
        <v>113</v>
      </c>
      <c r="AF551">
        <v>0.51</v>
      </c>
      <c r="AG551">
        <v>3200</v>
      </c>
      <c r="AK551" t="s">
        <v>643</v>
      </c>
      <c r="AL551" t="s">
        <v>597</v>
      </c>
      <c r="AM551">
        <v>480.73439999999999</v>
      </c>
      <c r="AW551">
        <v>14296320</v>
      </c>
      <c r="AY551">
        <v>285926400</v>
      </c>
      <c r="AZ551">
        <v>89352000</v>
      </c>
      <c r="BD551">
        <v>5</v>
      </c>
    </row>
    <row r="552" spans="1:56">
      <c r="A552" t="s">
        <v>673</v>
      </c>
      <c r="B552" t="s">
        <v>533</v>
      </c>
      <c r="C552">
        <v>2016</v>
      </c>
      <c r="E552">
        <v>2016</v>
      </c>
      <c r="H552">
        <v>4000</v>
      </c>
      <c r="I552">
        <v>1</v>
      </c>
      <c r="J552" t="s">
        <v>545</v>
      </c>
      <c r="L552" t="s">
        <v>31</v>
      </c>
      <c r="Q552">
        <v>4506845</v>
      </c>
      <c r="S552">
        <v>1.1299999999999999</v>
      </c>
      <c r="U552">
        <v>20</v>
      </c>
      <c r="AE552">
        <v>130</v>
      </c>
      <c r="AF552">
        <v>0.59</v>
      </c>
      <c r="AG552">
        <v>4000</v>
      </c>
      <c r="AK552" t="s">
        <v>643</v>
      </c>
      <c r="AL552" t="s">
        <v>597</v>
      </c>
      <c r="AM552">
        <v>480.73439999999999</v>
      </c>
      <c r="AW552">
        <v>20673600</v>
      </c>
      <c r="AY552">
        <v>413472000</v>
      </c>
      <c r="AZ552">
        <v>103368000</v>
      </c>
      <c r="BD552">
        <v>10.9</v>
      </c>
    </row>
    <row r="553" spans="1:56">
      <c r="A553" t="s">
        <v>673</v>
      </c>
      <c r="B553" t="s">
        <v>533</v>
      </c>
      <c r="C553">
        <v>2016</v>
      </c>
      <c r="E553">
        <v>2016</v>
      </c>
      <c r="H553">
        <v>6000</v>
      </c>
      <c r="I553">
        <v>1</v>
      </c>
      <c r="J553" t="s">
        <v>545</v>
      </c>
      <c r="L553" t="s">
        <v>31</v>
      </c>
      <c r="Q553">
        <v>4837622</v>
      </c>
      <c r="S553">
        <v>0.81</v>
      </c>
      <c r="U553">
        <v>20</v>
      </c>
      <c r="AE553">
        <v>154</v>
      </c>
      <c r="AF553">
        <v>0.59</v>
      </c>
      <c r="AG553">
        <v>6000</v>
      </c>
      <c r="AK553" t="s">
        <v>643</v>
      </c>
      <c r="AL553" t="s">
        <v>597</v>
      </c>
      <c r="AM553">
        <v>480.73439999999999</v>
      </c>
      <c r="AW553">
        <v>31010400</v>
      </c>
      <c r="AY553">
        <v>620208000</v>
      </c>
      <c r="AZ553">
        <v>103368000</v>
      </c>
      <c r="BD553">
        <v>7.8</v>
      </c>
    </row>
    <row r="554" spans="1:56">
      <c r="A554" t="s">
        <v>672</v>
      </c>
      <c r="B554" t="s">
        <v>534</v>
      </c>
      <c r="C554">
        <v>2016</v>
      </c>
      <c r="E554">
        <v>2016</v>
      </c>
      <c r="H554">
        <v>600</v>
      </c>
      <c r="I554">
        <v>1</v>
      </c>
      <c r="J554" t="s">
        <v>545</v>
      </c>
      <c r="L554" t="s">
        <v>24</v>
      </c>
      <c r="U554">
        <v>20</v>
      </c>
      <c r="AF554">
        <v>0.14000000000000001</v>
      </c>
      <c r="AG554">
        <v>600</v>
      </c>
      <c r="AK554" t="s">
        <v>643</v>
      </c>
      <c r="AL554" t="s">
        <v>597</v>
      </c>
      <c r="AM554">
        <v>480.73439999999999</v>
      </c>
      <c r="AW554">
        <v>735840</v>
      </c>
      <c r="AY554">
        <v>14716800</v>
      </c>
      <c r="AZ554">
        <v>24528000</v>
      </c>
    </row>
    <row r="555" spans="1:56">
      <c r="A555" t="s">
        <v>672</v>
      </c>
      <c r="B555" t="s">
        <v>534</v>
      </c>
      <c r="C555">
        <v>2016</v>
      </c>
      <c r="E555">
        <v>2016</v>
      </c>
      <c r="H555">
        <v>750</v>
      </c>
      <c r="I555">
        <v>1</v>
      </c>
      <c r="J555" t="s">
        <v>545</v>
      </c>
      <c r="L555" t="s">
        <v>24</v>
      </c>
      <c r="Q555">
        <v>606910</v>
      </c>
      <c r="S555">
        <v>0.81</v>
      </c>
      <c r="U555">
        <v>20</v>
      </c>
      <c r="AF555">
        <v>0.18</v>
      </c>
      <c r="AG555">
        <v>750</v>
      </c>
      <c r="AK555" t="s">
        <v>643</v>
      </c>
      <c r="AL555" t="s">
        <v>597</v>
      </c>
      <c r="AM555">
        <v>480.73439999999999</v>
      </c>
      <c r="AW555">
        <v>1182600</v>
      </c>
      <c r="AY555">
        <v>23652000</v>
      </c>
      <c r="AZ555">
        <v>31536000</v>
      </c>
      <c r="BD555">
        <v>25.66</v>
      </c>
    </row>
    <row r="556" spans="1:56">
      <c r="A556" t="s">
        <v>672</v>
      </c>
      <c r="B556" t="s">
        <v>534</v>
      </c>
      <c r="C556">
        <v>2016</v>
      </c>
      <c r="E556">
        <v>2016</v>
      </c>
      <c r="H556">
        <v>2000</v>
      </c>
      <c r="I556">
        <v>1</v>
      </c>
      <c r="J556" t="s">
        <v>545</v>
      </c>
      <c r="L556" t="s">
        <v>31</v>
      </c>
      <c r="Q556">
        <v>954490</v>
      </c>
      <c r="S556">
        <v>0.48</v>
      </c>
      <c r="U556">
        <v>20</v>
      </c>
      <c r="AF556">
        <v>0.3</v>
      </c>
      <c r="AG556">
        <v>2000</v>
      </c>
      <c r="AK556" t="s">
        <v>643</v>
      </c>
      <c r="AL556" t="s">
        <v>597</v>
      </c>
      <c r="AM556">
        <v>480.73439999999999</v>
      </c>
      <c r="AW556">
        <v>5256000</v>
      </c>
      <c r="AY556">
        <v>105120000</v>
      </c>
      <c r="AZ556">
        <v>52560000</v>
      </c>
      <c r="BD556">
        <v>9.08</v>
      </c>
    </row>
    <row r="557" spans="1:56">
      <c r="A557" t="s">
        <v>672</v>
      </c>
      <c r="B557" t="s">
        <v>534</v>
      </c>
      <c r="C557">
        <v>2016</v>
      </c>
      <c r="E557">
        <v>2016</v>
      </c>
      <c r="H557">
        <v>2000</v>
      </c>
      <c r="I557">
        <v>1</v>
      </c>
      <c r="J557" t="s">
        <v>545</v>
      </c>
      <c r="L557" t="s">
        <v>31</v>
      </c>
      <c r="Q557">
        <v>816782</v>
      </c>
      <c r="S557">
        <v>0.41</v>
      </c>
      <c r="U557">
        <v>20</v>
      </c>
      <c r="AF557">
        <v>0.3</v>
      </c>
      <c r="AG557">
        <v>2000</v>
      </c>
      <c r="AK557" t="s">
        <v>643</v>
      </c>
      <c r="AL557" t="s">
        <v>597</v>
      </c>
      <c r="AM557">
        <v>480.73439999999999</v>
      </c>
      <c r="AW557">
        <v>5256000</v>
      </c>
      <c r="AY557">
        <v>105120000</v>
      </c>
      <c r="AZ557">
        <v>52560000</v>
      </c>
      <c r="BD557">
        <v>7.77</v>
      </c>
    </row>
    <row r="558" spans="1:56">
      <c r="A558" t="s">
        <v>672</v>
      </c>
      <c r="B558" t="s">
        <v>534</v>
      </c>
      <c r="C558">
        <v>2016</v>
      </c>
      <c r="E558">
        <v>2016</v>
      </c>
      <c r="H558">
        <v>2000</v>
      </c>
      <c r="I558">
        <v>1</v>
      </c>
      <c r="J558" t="s">
        <v>545</v>
      </c>
      <c r="L558" t="s">
        <v>24</v>
      </c>
      <c r="Q558">
        <v>1341331</v>
      </c>
      <c r="S558">
        <v>0.67</v>
      </c>
      <c r="U558">
        <v>20</v>
      </c>
      <c r="AF558">
        <v>0.3</v>
      </c>
      <c r="AG558">
        <v>2000</v>
      </c>
      <c r="AK558" t="s">
        <v>643</v>
      </c>
      <c r="AL558" t="s">
        <v>597</v>
      </c>
      <c r="AM558">
        <v>480.73439999999999</v>
      </c>
      <c r="AW558">
        <v>5256000</v>
      </c>
      <c r="AY558">
        <v>105120000</v>
      </c>
      <c r="AZ558">
        <v>52560000</v>
      </c>
      <c r="BD558">
        <v>12.76</v>
      </c>
    </row>
    <row r="559" spans="1:56">
      <c r="A559" t="s">
        <v>672</v>
      </c>
      <c r="B559" t="s">
        <v>534</v>
      </c>
      <c r="C559">
        <v>2016</v>
      </c>
      <c r="E559">
        <v>2016</v>
      </c>
      <c r="H559">
        <v>2300</v>
      </c>
      <c r="I559">
        <v>1</v>
      </c>
      <c r="J559" t="s">
        <v>545</v>
      </c>
      <c r="L559" t="s">
        <v>24</v>
      </c>
      <c r="Q559">
        <v>1278995</v>
      </c>
      <c r="S559">
        <v>0.56000000000000005</v>
      </c>
      <c r="U559">
        <v>20</v>
      </c>
      <c r="AF559">
        <v>0.3</v>
      </c>
      <c r="AG559">
        <v>2300</v>
      </c>
      <c r="AK559" t="s">
        <v>643</v>
      </c>
      <c r="AL559" t="s">
        <v>597</v>
      </c>
      <c r="AM559">
        <v>480.73439999999999</v>
      </c>
      <c r="AW559">
        <v>6044400</v>
      </c>
      <c r="AY559">
        <v>120888000</v>
      </c>
      <c r="AZ559">
        <v>52560000</v>
      </c>
      <c r="BD559">
        <v>10.58</v>
      </c>
    </row>
    <row r="560" spans="1:56">
      <c r="A560" t="s">
        <v>672</v>
      </c>
      <c r="B560" t="s">
        <v>534</v>
      </c>
      <c r="C560">
        <v>2016</v>
      </c>
      <c r="E560">
        <v>2016</v>
      </c>
      <c r="H560">
        <v>4500</v>
      </c>
      <c r="I560">
        <v>1</v>
      </c>
      <c r="J560" t="s">
        <v>545</v>
      </c>
      <c r="L560" t="s">
        <v>24</v>
      </c>
      <c r="Q560">
        <v>2556781</v>
      </c>
      <c r="S560">
        <v>0.56999999999999995</v>
      </c>
      <c r="U560">
        <v>20</v>
      </c>
      <c r="AF560">
        <v>0.3</v>
      </c>
      <c r="AG560">
        <v>4500</v>
      </c>
      <c r="AK560" t="s">
        <v>643</v>
      </c>
      <c r="AL560" t="s">
        <v>597</v>
      </c>
      <c r="AM560">
        <v>480.73439999999999</v>
      </c>
      <c r="AW560">
        <v>11826000</v>
      </c>
      <c r="AY560">
        <v>236520000</v>
      </c>
      <c r="AZ560">
        <v>52560000</v>
      </c>
      <c r="BD560">
        <v>10.81</v>
      </c>
    </row>
    <row r="561" spans="1:56">
      <c r="A561" t="s">
        <v>672</v>
      </c>
      <c r="B561" t="s">
        <v>534</v>
      </c>
      <c r="C561">
        <v>2016</v>
      </c>
      <c r="E561">
        <v>2016</v>
      </c>
      <c r="H561">
        <v>2000</v>
      </c>
      <c r="I561">
        <v>1</v>
      </c>
      <c r="J561" t="s">
        <v>545</v>
      </c>
      <c r="L561" t="s">
        <v>31</v>
      </c>
      <c r="Q561">
        <v>1429632</v>
      </c>
      <c r="S561">
        <v>0.71</v>
      </c>
      <c r="U561">
        <v>20</v>
      </c>
      <c r="AF561">
        <v>0.3</v>
      </c>
      <c r="AG561">
        <v>2000</v>
      </c>
      <c r="AK561" t="s">
        <v>643</v>
      </c>
      <c r="AL561" t="s">
        <v>597</v>
      </c>
      <c r="AM561">
        <v>480.73439999999999</v>
      </c>
      <c r="AW561">
        <v>5256000</v>
      </c>
      <c r="AY561">
        <v>105120000</v>
      </c>
      <c r="AZ561">
        <v>52560000</v>
      </c>
      <c r="BD561">
        <v>13.6</v>
      </c>
    </row>
    <row r="562" spans="1:56">
      <c r="A562" t="s">
        <v>763</v>
      </c>
      <c r="B562" t="s">
        <v>72</v>
      </c>
      <c r="C562">
        <v>2017</v>
      </c>
      <c r="E562">
        <v>2017</v>
      </c>
      <c r="F562" t="s">
        <v>74</v>
      </c>
      <c r="G562" t="s">
        <v>73</v>
      </c>
      <c r="H562">
        <v>660</v>
      </c>
      <c r="I562">
        <v>1</v>
      </c>
      <c r="J562" t="s">
        <v>75</v>
      </c>
      <c r="L562" t="s">
        <v>24</v>
      </c>
      <c r="Q562">
        <v>697185</v>
      </c>
      <c r="S562">
        <v>1.06</v>
      </c>
      <c r="U562">
        <v>20</v>
      </c>
      <c r="AD562" t="s">
        <v>33</v>
      </c>
      <c r="AF562">
        <v>0.22018126499999999</v>
      </c>
      <c r="AG562">
        <v>660</v>
      </c>
      <c r="AK562" t="s">
        <v>709</v>
      </c>
      <c r="AL562" t="s">
        <v>597</v>
      </c>
      <c r="AM562">
        <v>530.78719999999998</v>
      </c>
      <c r="AO562" t="s">
        <v>35</v>
      </c>
      <c r="AW562">
        <v>1273000</v>
      </c>
      <c r="AY562">
        <v>25460000</v>
      </c>
      <c r="AZ562">
        <v>38575757.5757576</v>
      </c>
      <c r="BD562">
        <v>27.38</v>
      </c>
    </row>
    <row r="563" spans="1:56">
      <c r="A563" t="s">
        <v>763</v>
      </c>
      <c r="B563" t="s">
        <v>72</v>
      </c>
      <c r="C563">
        <v>2017</v>
      </c>
      <c r="E563">
        <v>2017</v>
      </c>
      <c r="F563" t="s">
        <v>74</v>
      </c>
      <c r="G563" t="s">
        <v>73</v>
      </c>
      <c r="H563">
        <v>200</v>
      </c>
      <c r="I563">
        <v>3</v>
      </c>
      <c r="J563" t="s">
        <v>76</v>
      </c>
      <c r="L563" t="s">
        <v>24</v>
      </c>
      <c r="Q563">
        <v>735045</v>
      </c>
      <c r="S563">
        <v>1.23</v>
      </c>
      <c r="U563">
        <v>20</v>
      </c>
      <c r="AD563" t="s">
        <v>33</v>
      </c>
      <c r="AF563">
        <v>0.24219939100000001</v>
      </c>
      <c r="AG563">
        <v>600</v>
      </c>
      <c r="AK563" t="s">
        <v>709</v>
      </c>
      <c r="AL563" t="s">
        <v>597</v>
      </c>
      <c r="AM563">
        <v>530.78719999999998</v>
      </c>
      <c r="AO563" t="s">
        <v>35</v>
      </c>
      <c r="AW563">
        <v>1273000</v>
      </c>
      <c r="AY563">
        <v>25460000</v>
      </c>
      <c r="AZ563">
        <v>42433333.333333299</v>
      </c>
      <c r="BD563">
        <v>28.87</v>
      </c>
    </row>
    <row r="564" spans="1:56">
      <c r="A564" t="s">
        <v>763</v>
      </c>
      <c r="B564" t="s">
        <v>72</v>
      </c>
      <c r="C564">
        <v>2017</v>
      </c>
      <c r="E564">
        <v>2017</v>
      </c>
      <c r="F564" t="s">
        <v>74</v>
      </c>
      <c r="G564" t="s">
        <v>73</v>
      </c>
      <c r="H564">
        <v>100</v>
      </c>
      <c r="I564">
        <v>6</v>
      </c>
      <c r="J564" t="s">
        <v>77</v>
      </c>
      <c r="L564" t="s">
        <v>24</v>
      </c>
      <c r="Q564">
        <v>567503</v>
      </c>
      <c r="S564">
        <v>0.95</v>
      </c>
      <c r="U564">
        <v>20</v>
      </c>
      <c r="AD564" t="s">
        <v>33</v>
      </c>
      <c r="AF564">
        <v>0.24219939100000001</v>
      </c>
      <c r="AG564">
        <v>600</v>
      </c>
      <c r="AK564" t="s">
        <v>709</v>
      </c>
      <c r="AL564" t="s">
        <v>597</v>
      </c>
      <c r="AM564">
        <v>530.78719999999998</v>
      </c>
      <c r="AO564" t="s">
        <v>35</v>
      </c>
      <c r="AW564">
        <v>1273000</v>
      </c>
      <c r="AY564">
        <v>25460000</v>
      </c>
      <c r="AZ564">
        <v>42433333.333333299</v>
      </c>
      <c r="BD564">
        <v>22.29</v>
      </c>
    </row>
    <row r="565" spans="1:56">
      <c r="A565" t="s">
        <v>763</v>
      </c>
      <c r="B565" t="s">
        <v>72</v>
      </c>
      <c r="C565">
        <v>2017</v>
      </c>
      <c r="E565">
        <v>2017</v>
      </c>
      <c r="F565" t="s">
        <v>74</v>
      </c>
      <c r="G565" t="s">
        <v>73</v>
      </c>
      <c r="H565">
        <v>600</v>
      </c>
      <c r="I565">
        <v>1</v>
      </c>
      <c r="J565" t="s">
        <v>78</v>
      </c>
      <c r="L565" t="s">
        <v>24</v>
      </c>
      <c r="Q565">
        <v>927351</v>
      </c>
      <c r="S565">
        <v>1.55</v>
      </c>
      <c r="U565">
        <v>20</v>
      </c>
      <c r="AD565" t="s">
        <v>33</v>
      </c>
      <c r="AF565">
        <v>0.24219939100000001</v>
      </c>
      <c r="AG565">
        <v>600</v>
      </c>
      <c r="AK565" t="s">
        <v>709</v>
      </c>
      <c r="AL565" t="s">
        <v>597</v>
      </c>
      <c r="AM565">
        <v>530.78719999999998</v>
      </c>
      <c r="AO565" t="s">
        <v>35</v>
      </c>
      <c r="AW565">
        <v>1273000</v>
      </c>
      <c r="AY565">
        <v>25460000</v>
      </c>
      <c r="AZ565">
        <v>42433333.333333299</v>
      </c>
      <c r="BD565">
        <v>36.42</v>
      </c>
    </row>
    <row r="566" spans="1:56">
      <c r="A566" t="s">
        <v>763</v>
      </c>
      <c r="B566" t="s">
        <v>72</v>
      </c>
      <c r="C566">
        <v>2017</v>
      </c>
      <c r="E566">
        <v>2017</v>
      </c>
      <c r="F566" t="s">
        <v>74</v>
      </c>
      <c r="G566" t="s">
        <v>73</v>
      </c>
      <c r="H566">
        <v>480</v>
      </c>
      <c r="I566">
        <v>1</v>
      </c>
      <c r="J566" t="s">
        <v>79</v>
      </c>
      <c r="L566" t="s">
        <v>24</v>
      </c>
      <c r="Q566">
        <v>908933</v>
      </c>
      <c r="S566">
        <v>1.89</v>
      </c>
      <c r="U566">
        <v>20</v>
      </c>
      <c r="AD566" t="s">
        <v>33</v>
      </c>
      <c r="AF566">
        <v>0.302749239</v>
      </c>
      <c r="AG566">
        <v>480</v>
      </c>
      <c r="AK566" t="s">
        <v>709</v>
      </c>
      <c r="AL566" t="s">
        <v>597</v>
      </c>
      <c r="AM566">
        <v>530.78719999999998</v>
      </c>
      <c r="AO566" t="s">
        <v>35</v>
      </c>
      <c r="AW566">
        <v>1273000</v>
      </c>
      <c r="AY566">
        <v>25460000</v>
      </c>
      <c r="AZ566">
        <v>53041666.666666701</v>
      </c>
      <c r="BD566">
        <v>35.700000000000003</v>
      </c>
    </row>
    <row r="567" spans="1:56">
      <c r="A567" t="s">
        <v>677</v>
      </c>
      <c r="B567" t="s">
        <v>118</v>
      </c>
      <c r="C567">
        <v>2017</v>
      </c>
      <c r="E567">
        <v>2017</v>
      </c>
      <c r="F567" t="s">
        <v>27</v>
      </c>
      <c r="G567" t="s">
        <v>119</v>
      </c>
      <c r="H567">
        <v>1894.4396177240001</v>
      </c>
      <c r="I567">
        <v>2302</v>
      </c>
      <c r="J567" t="s">
        <v>120</v>
      </c>
      <c r="L567" t="s">
        <v>24</v>
      </c>
      <c r="AD567" t="s">
        <v>33</v>
      </c>
      <c r="AG567">
        <v>4361</v>
      </c>
      <c r="AK567" t="s">
        <v>709</v>
      </c>
      <c r="AL567" t="s">
        <v>597</v>
      </c>
      <c r="AM567">
        <v>530.78719999999998</v>
      </c>
      <c r="BD567">
        <v>12.05</v>
      </c>
    </row>
    <row r="568" spans="1:56">
      <c r="A568" t="s">
        <v>754</v>
      </c>
      <c r="B568" t="s">
        <v>83</v>
      </c>
      <c r="C568">
        <v>2017</v>
      </c>
      <c r="E568">
        <v>2017</v>
      </c>
      <c r="F568" t="s">
        <v>27</v>
      </c>
      <c r="G568" t="s">
        <v>19</v>
      </c>
      <c r="H568">
        <v>2000</v>
      </c>
      <c r="J568" t="s">
        <v>140</v>
      </c>
      <c r="L568" t="s">
        <v>24</v>
      </c>
      <c r="Q568">
        <v>13837338</v>
      </c>
      <c r="U568">
        <v>20</v>
      </c>
      <c r="Z568">
        <v>0.48</v>
      </c>
      <c r="AD568" t="s">
        <v>33</v>
      </c>
      <c r="AF568">
        <v>0.51369863000000004</v>
      </c>
      <c r="AH568">
        <v>780449347</v>
      </c>
      <c r="AK568" t="s">
        <v>709</v>
      </c>
      <c r="AL568" t="s">
        <v>597</v>
      </c>
      <c r="AM568">
        <v>530.78719999999998</v>
      </c>
      <c r="AO568" t="s">
        <v>20</v>
      </c>
      <c r="AQ568">
        <v>216791485</v>
      </c>
      <c r="AS568">
        <v>65037445.600000001</v>
      </c>
      <c r="AU568">
        <v>0.04</v>
      </c>
      <c r="AW568">
        <v>81540000</v>
      </c>
      <c r="AY568">
        <v>1630800000</v>
      </c>
      <c r="BB568">
        <v>0.13</v>
      </c>
      <c r="BD568">
        <v>8.4849999999999994</v>
      </c>
    </row>
    <row r="569" spans="1:56">
      <c r="A569" t="s">
        <v>711</v>
      </c>
      <c r="B569" t="s">
        <v>152</v>
      </c>
      <c r="C569">
        <v>2017</v>
      </c>
      <c r="E569">
        <v>2017</v>
      </c>
      <c r="F569" t="s">
        <v>27</v>
      </c>
      <c r="H569">
        <v>1500</v>
      </c>
      <c r="I569">
        <v>33</v>
      </c>
      <c r="J569" t="s">
        <v>153</v>
      </c>
      <c r="L569" t="s">
        <v>24</v>
      </c>
      <c r="Q569">
        <v>21369401</v>
      </c>
      <c r="U569">
        <v>20</v>
      </c>
      <c r="AD569" t="s">
        <v>33</v>
      </c>
      <c r="AF569">
        <v>0.27113601799999998</v>
      </c>
      <c r="AG569">
        <v>49500</v>
      </c>
      <c r="AK569" t="s">
        <v>709</v>
      </c>
      <c r="AL569" t="s">
        <v>597</v>
      </c>
      <c r="AM569">
        <v>530.78719999999998</v>
      </c>
      <c r="AW569">
        <v>117570000</v>
      </c>
      <c r="AY569">
        <v>2351400000</v>
      </c>
      <c r="AZ569">
        <v>47503030.303030297</v>
      </c>
      <c r="BD569">
        <v>9.09</v>
      </c>
    </row>
    <row r="570" spans="1:56">
      <c r="A570" t="s">
        <v>750</v>
      </c>
      <c r="B570" t="s">
        <v>154</v>
      </c>
      <c r="C570">
        <v>2017</v>
      </c>
      <c r="E570">
        <v>2017</v>
      </c>
      <c r="F570" t="s">
        <v>27</v>
      </c>
      <c r="G570" t="s">
        <v>19</v>
      </c>
      <c r="L570" t="s">
        <v>24</v>
      </c>
      <c r="N570">
        <v>20.45</v>
      </c>
      <c r="O570">
        <v>4.3250000000000002</v>
      </c>
      <c r="P570">
        <v>5.68</v>
      </c>
      <c r="U570">
        <v>20</v>
      </c>
      <c r="Z570">
        <v>0.46</v>
      </c>
      <c r="AB570" t="s">
        <v>155</v>
      </c>
      <c r="AD570" t="s">
        <v>33</v>
      </c>
      <c r="AF570">
        <v>0.252619863</v>
      </c>
      <c r="AG570">
        <v>200000</v>
      </c>
      <c r="AH570">
        <v>4090000000</v>
      </c>
      <c r="AK570" t="s">
        <v>709</v>
      </c>
      <c r="AL570" t="s">
        <v>597</v>
      </c>
      <c r="AM570">
        <v>530.78719999999998</v>
      </c>
      <c r="AO570" t="s">
        <v>20</v>
      </c>
      <c r="AP570">
        <v>865000000</v>
      </c>
      <c r="AQ570">
        <v>1136111111</v>
      </c>
      <c r="AR570">
        <v>240277778</v>
      </c>
      <c r="AS570">
        <v>340833333.30000001</v>
      </c>
      <c r="AT570">
        <v>72083333.299999997</v>
      </c>
      <c r="AU570">
        <v>0.04</v>
      </c>
      <c r="AW570">
        <v>442590000</v>
      </c>
      <c r="AY570">
        <v>8851800000</v>
      </c>
      <c r="AZ570">
        <v>44259000</v>
      </c>
      <c r="BB570">
        <v>0.13</v>
      </c>
      <c r="BC570">
        <v>8.0000000000000002E-3</v>
      </c>
    </row>
    <row r="571" spans="1:56">
      <c r="A571" t="s">
        <v>750</v>
      </c>
      <c r="B571" t="s">
        <v>154</v>
      </c>
      <c r="C571">
        <v>2017</v>
      </c>
      <c r="E571">
        <v>2017</v>
      </c>
      <c r="F571" t="s">
        <v>27</v>
      </c>
      <c r="G571" t="s">
        <v>19</v>
      </c>
      <c r="L571" t="s">
        <v>24</v>
      </c>
      <c r="N571">
        <v>20.45</v>
      </c>
      <c r="O571">
        <v>4.3250000000000002</v>
      </c>
      <c r="P571">
        <v>5.68</v>
      </c>
      <c r="U571">
        <v>20</v>
      </c>
      <c r="Z571">
        <v>0.45</v>
      </c>
      <c r="AB571" t="s">
        <v>155</v>
      </c>
      <c r="AD571" t="s">
        <v>33</v>
      </c>
      <c r="AF571">
        <v>0.258070776</v>
      </c>
      <c r="AG571">
        <v>100000</v>
      </c>
      <c r="AH571">
        <v>2045000000</v>
      </c>
      <c r="AK571" t="s">
        <v>709</v>
      </c>
      <c r="AL571" t="s">
        <v>597</v>
      </c>
      <c r="AM571">
        <v>530.78719999999998</v>
      </c>
      <c r="AO571" t="s">
        <v>35</v>
      </c>
      <c r="AP571">
        <v>432500000</v>
      </c>
      <c r="AQ571">
        <v>568055556</v>
      </c>
      <c r="AR571">
        <v>120138889</v>
      </c>
      <c r="AS571">
        <v>170416666.69999999</v>
      </c>
      <c r="AT571">
        <v>36041666.700000003</v>
      </c>
      <c r="AU571">
        <v>0.04</v>
      </c>
      <c r="AW571">
        <v>226070000</v>
      </c>
      <c r="AY571">
        <v>4521400000</v>
      </c>
      <c r="AZ571">
        <v>45214000</v>
      </c>
      <c r="BB571">
        <v>0.13</v>
      </c>
      <c r="BC571">
        <v>8.0000000000000002E-3</v>
      </c>
    </row>
    <row r="572" spans="1:56">
      <c r="A572" t="s">
        <v>750</v>
      </c>
      <c r="B572" t="s">
        <v>154</v>
      </c>
      <c r="C572">
        <v>2017</v>
      </c>
      <c r="E572">
        <v>2017</v>
      </c>
      <c r="F572" t="s">
        <v>27</v>
      </c>
      <c r="G572" t="s">
        <v>19</v>
      </c>
      <c r="L572" t="s">
        <v>24</v>
      </c>
      <c r="N572">
        <v>20.45</v>
      </c>
      <c r="O572">
        <v>4.3250000000000002</v>
      </c>
      <c r="P572">
        <v>5.68</v>
      </c>
      <c r="U572">
        <v>20</v>
      </c>
      <c r="Z572">
        <v>0.45</v>
      </c>
      <c r="AB572" t="s">
        <v>155</v>
      </c>
      <c r="AD572" t="s">
        <v>33</v>
      </c>
      <c r="AF572">
        <v>0.25859018299999997</v>
      </c>
      <c r="AG572">
        <v>200000</v>
      </c>
      <c r="AH572">
        <v>4090000000</v>
      </c>
      <c r="AK572" t="s">
        <v>709</v>
      </c>
      <c r="AL572" t="s">
        <v>597</v>
      </c>
      <c r="AM572">
        <v>530.78719999999998</v>
      </c>
      <c r="AO572" t="s">
        <v>35</v>
      </c>
      <c r="AP572">
        <v>865000000</v>
      </c>
      <c r="AQ572">
        <v>1136111111</v>
      </c>
      <c r="AR572">
        <v>240277778</v>
      </c>
      <c r="AS572">
        <v>340833333.30000001</v>
      </c>
      <c r="AT572">
        <v>72083333.299999997</v>
      </c>
      <c r="AU572">
        <v>0.04</v>
      </c>
      <c r="AW572">
        <v>453050000</v>
      </c>
      <c r="AY572">
        <v>9061000000</v>
      </c>
      <c r="AZ572">
        <v>45305000</v>
      </c>
      <c r="BB572">
        <v>0.13</v>
      </c>
      <c r="BC572">
        <v>8.0000000000000002E-3</v>
      </c>
    </row>
    <row r="573" spans="1:56">
      <c r="A573" t="s">
        <v>750</v>
      </c>
      <c r="B573" t="s">
        <v>154</v>
      </c>
      <c r="C573">
        <v>2017</v>
      </c>
      <c r="E573">
        <v>2017</v>
      </c>
      <c r="F573" t="s">
        <v>27</v>
      </c>
      <c r="G573" t="s">
        <v>19</v>
      </c>
      <c r="L573" t="s">
        <v>24</v>
      </c>
      <c r="N573">
        <v>20.45</v>
      </c>
      <c r="O573">
        <v>4.3250000000000002</v>
      </c>
      <c r="P573">
        <v>5.68</v>
      </c>
      <c r="U573">
        <v>20</v>
      </c>
      <c r="Z573">
        <v>0.53</v>
      </c>
      <c r="AB573" t="s">
        <v>155</v>
      </c>
      <c r="AD573" t="s">
        <v>33</v>
      </c>
      <c r="AF573">
        <v>0.22185323600000001</v>
      </c>
      <c r="AG573">
        <v>49500</v>
      </c>
      <c r="AH573">
        <v>1012275000</v>
      </c>
      <c r="AK573" t="s">
        <v>709</v>
      </c>
      <c r="AL573" t="s">
        <v>597</v>
      </c>
      <c r="AM573">
        <v>530.78719999999998</v>
      </c>
      <c r="AO573" t="s">
        <v>20</v>
      </c>
      <c r="AP573">
        <v>214087500</v>
      </c>
      <c r="AQ573">
        <v>281187500</v>
      </c>
      <c r="AR573">
        <v>59468750</v>
      </c>
      <c r="AS573">
        <v>84356250</v>
      </c>
      <c r="AT573">
        <v>17840625</v>
      </c>
      <c r="AU573">
        <v>0.04</v>
      </c>
      <c r="AW573">
        <v>96200000</v>
      </c>
      <c r="AY573">
        <v>1924000000</v>
      </c>
      <c r="AZ573">
        <v>38868686.8686869</v>
      </c>
      <c r="BB573">
        <v>0.15</v>
      </c>
      <c r="BC573">
        <v>8.9999999999999993E-3</v>
      </c>
    </row>
    <row r="574" spans="1:56">
      <c r="A574" t="s">
        <v>750</v>
      </c>
      <c r="B574" t="s">
        <v>154</v>
      </c>
      <c r="C574">
        <v>2017</v>
      </c>
      <c r="E574">
        <v>2017</v>
      </c>
      <c r="F574" t="s">
        <v>27</v>
      </c>
      <c r="G574" t="s">
        <v>19</v>
      </c>
      <c r="L574" t="s">
        <v>24</v>
      </c>
      <c r="N574">
        <v>20.45</v>
      </c>
      <c r="O574">
        <v>4.3250000000000002</v>
      </c>
      <c r="P574">
        <v>5.68</v>
      </c>
      <c r="U574">
        <v>20</v>
      </c>
      <c r="Z574">
        <v>0.39</v>
      </c>
      <c r="AB574" t="s">
        <v>155</v>
      </c>
      <c r="AD574" t="s">
        <v>33</v>
      </c>
      <c r="AF574">
        <v>0.29847793</v>
      </c>
      <c r="AG574">
        <v>60000</v>
      </c>
      <c r="AH574">
        <v>1227000000</v>
      </c>
      <c r="AK574" t="s">
        <v>709</v>
      </c>
      <c r="AL574" t="s">
        <v>597</v>
      </c>
      <c r="AM574">
        <v>530.78719999999998</v>
      </c>
      <c r="AO574" t="s">
        <v>20</v>
      </c>
      <c r="AP574">
        <v>259500000</v>
      </c>
      <c r="AQ574">
        <v>340833333</v>
      </c>
      <c r="AR574">
        <v>72083333</v>
      </c>
      <c r="AS574">
        <v>102250000</v>
      </c>
      <c r="AT574">
        <v>21625000</v>
      </c>
      <c r="AU574">
        <v>0.03</v>
      </c>
      <c r="AW574">
        <v>156880000</v>
      </c>
      <c r="AY574">
        <v>3137600000</v>
      </c>
      <c r="AZ574">
        <v>52293333.333333299</v>
      </c>
      <c r="BB574">
        <v>0.11</v>
      </c>
      <c r="BC574">
        <v>7.0000000000000001E-3</v>
      </c>
    </row>
    <row r="575" spans="1:56">
      <c r="A575" t="s">
        <v>750</v>
      </c>
      <c r="B575" t="s">
        <v>154</v>
      </c>
      <c r="C575">
        <v>2017</v>
      </c>
      <c r="E575">
        <v>2017</v>
      </c>
      <c r="F575" t="s">
        <v>27</v>
      </c>
      <c r="G575" t="s">
        <v>19</v>
      </c>
      <c r="L575" t="s">
        <v>24</v>
      </c>
      <c r="N575">
        <v>20.45</v>
      </c>
      <c r="O575">
        <v>4.3250000000000002</v>
      </c>
      <c r="P575">
        <v>5.68</v>
      </c>
      <c r="U575">
        <v>20</v>
      </c>
      <c r="Z575">
        <v>0.38</v>
      </c>
      <c r="AB575" t="s">
        <v>155</v>
      </c>
      <c r="AD575" t="s">
        <v>33</v>
      </c>
      <c r="AF575">
        <v>0.30921082999999999</v>
      </c>
      <c r="AG575">
        <v>49500</v>
      </c>
      <c r="AH575">
        <v>1012275000</v>
      </c>
      <c r="AK575" t="s">
        <v>709</v>
      </c>
      <c r="AL575" t="s">
        <v>597</v>
      </c>
      <c r="AM575">
        <v>530.78719999999998</v>
      </c>
      <c r="AO575" t="s">
        <v>35</v>
      </c>
      <c r="AP575">
        <v>214087500</v>
      </c>
      <c r="AQ575">
        <v>281187500</v>
      </c>
      <c r="AR575">
        <v>59468750</v>
      </c>
      <c r="AS575">
        <v>84356250</v>
      </c>
      <c r="AT575">
        <v>17840625</v>
      </c>
      <c r="AU575">
        <v>0.03</v>
      </c>
      <c r="AW575">
        <v>134080000</v>
      </c>
      <c r="AY575">
        <v>2681600000</v>
      </c>
      <c r="AZ575">
        <v>54173737.373737402</v>
      </c>
      <c r="BB575">
        <v>0.1</v>
      </c>
      <c r="BC575">
        <v>7.0000000000000001E-3</v>
      </c>
    </row>
    <row r="576" spans="1:56">
      <c r="A576" t="s">
        <v>750</v>
      </c>
      <c r="B576" t="s">
        <v>154</v>
      </c>
      <c r="C576">
        <v>2017</v>
      </c>
      <c r="E576">
        <v>2017</v>
      </c>
      <c r="F576" t="s">
        <v>27</v>
      </c>
      <c r="G576" t="s">
        <v>19</v>
      </c>
      <c r="L576" t="s">
        <v>24</v>
      </c>
      <c r="N576">
        <v>20.45</v>
      </c>
      <c r="O576">
        <v>4.3250000000000002</v>
      </c>
      <c r="P576">
        <v>5.68</v>
      </c>
      <c r="U576">
        <v>20</v>
      </c>
      <c r="Z576">
        <v>0.39</v>
      </c>
      <c r="AB576" t="s">
        <v>155</v>
      </c>
      <c r="AD576" t="s">
        <v>33</v>
      </c>
      <c r="AF576">
        <v>0.29765693500000001</v>
      </c>
      <c r="AG576">
        <v>49500</v>
      </c>
      <c r="AH576">
        <v>1012275000</v>
      </c>
      <c r="AK576" t="s">
        <v>709</v>
      </c>
      <c r="AL576" t="s">
        <v>597</v>
      </c>
      <c r="AM576">
        <v>530.78719999999998</v>
      </c>
      <c r="AO576" t="s">
        <v>20</v>
      </c>
      <c r="AP576">
        <v>214087500</v>
      </c>
      <c r="AQ576">
        <v>281187500</v>
      </c>
      <c r="AR576">
        <v>59468750</v>
      </c>
      <c r="AS576">
        <v>84356250</v>
      </c>
      <c r="AT576">
        <v>17840625</v>
      </c>
      <c r="AU576">
        <v>0.03</v>
      </c>
      <c r="AW576">
        <v>129070000</v>
      </c>
      <c r="AY576">
        <v>2581400000</v>
      </c>
      <c r="AZ576">
        <v>52149494.949495003</v>
      </c>
      <c r="BB576">
        <v>0.11</v>
      </c>
      <c r="BC576">
        <v>7.0000000000000001E-3</v>
      </c>
    </row>
    <row r="577" spans="1:55">
      <c r="A577" t="s">
        <v>750</v>
      </c>
      <c r="B577" t="s">
        <v>154</v>
      </c>
      <c r="C577">
        <v>2017</v>
      </c>
      <c r="E577">
        <v>2017</v>
      </c>
      <c r="F577" t="s">
        <v>27</v>
      </c>
      <c r="G577" t="s">
        <v>19</v>
      </c>
      <c r="L577" t="s">
        <v>24</v>
      </c>
      <c r="N577">
        <v>20.45</v>
      </c>
      <c r="O577">
        <v>4.3250000000000002</v>
      </c>
      <c r="P577">
        <v>5.68</v>
      </c>
      <c r="U577">
        <v>20</v>
      </c>
      <c r="Z577">
        <v>0.42</v>
      </c>
      <c r="AB577" t="s">
        <v>155</v>
      </c>
      <c r="AD577" t="s">
        <v>33</v>
      </c>
      <c r="AF577">
        <v>0.27855022800000001</v>
      </c>
      <c r="AG577">
        <v>100000</v>
      </c>
      <c r="AH577">
        <v>2045000000</v>
      </c>
      <c r="AK577" t="s">
        <v>709</v>
      </c>
      <c r="AL577" t="s">
        <v>597</v>
      </c>
      <c r="AM577">
        <v>530.78719999999998</v>
      </c>
      <c r="AO577" t="s">
        <v>20</v>
      </c>
      <c r="AP577">
        <v>432500000</v>
      </c>
      <c r="AQ577">
        <v>568055556</v>
      </c>
      <c r="AR577">
        <v>120138889</v>
      </c>
      <c r="AS577">
        <v>170416666.69999999</v>
      </c>
      <c r="AT577">
        <v>36041666.700000003</v>
      </c>
      <c r="AU577">
        <v>0.03</v>
      </c>
      <c r="AW577">
        <v>244010000</v>
      </c>
      <c r="AY577">
        <v>4880200000</v>
      </c>
      <c r="AZ577">
        <v>48802000</v>
      </c>
      <c r="BB577">
        <v>0.12</v>
      </c>
      <c r="BC577">
        <v>7.0000000000000001E-3</v>
      </c>
    </row>
    <row r="578" spans="1:55">
      <c r="A578" t="s">
        <v>750</v>
      </c>
      <c r="B578" t="s">
        <v>154</v>
      </c>
      <c r="C578">
        <v>2017</v>
      </c>
      <c r="E578">
        <v>2017</v>
      </c>
      <c r="F578" t="s">
        <v>27</v>
      </c>
      <c r="G578" t="s">
        <v>19</v>
      </c>
      <c r="L578" t="s">
        <v>24</v>
      </c>
      <c r="N578">
        <v>21.1</v>
      </c>
      <c r="O578">
        <v>1.5249999999999999</v>
      </c>
      <c r="P578">
        <v>5.86</v>
      </c>
      <c r="U578">
        <v>20</v>
      </c>
      <c r="Z578">
        <v>0.5</v>
      </c>
      <c r="AB578" t="s">
        <v>156</v>
      </c>
      <c r="AD578" t="s">
        <v>33</v>
      </c>
      <c r="AF578">
        <v>0.23938010200000001</v>
      </c>
      <c r="AG578">
        <v>52800</v>
      </c>
      <c r="AH578">
        <v>1114080000</v>
      </c>
      <c r="AK578" t="s">
        <v>709</v>
      </c>
      <c r="AL578" t="s">
        <v>597</v>
      </c>
      <c r="AM578">
        <v>530.78719999999998</v>
      </c>
      <c r="AO578" t="s">
        <v>20</v>
      </c>
      <c r="AP578">
        <v>80520000</v>
      </c>
      <c r="AQ578">
        <v>309466667</v>
      </c>
      <c r="AR578">
        <v>22366667</v>
      </c>
      <c r="AS578">
        <v>92840000</v>
      </c>
      <c r="AT578">
        <v>6710000</v>
      </c>
      <c r="AU578">
        <v>0.04</v>
      </c>
      <c r="AW578">
        <v>110720000</v>
      </c>
      <c r="AY578">
        <v>2214400000</v>
      </c>
      <c r="AZ578">
        <v>41939393.9393939</v>
      </c>
      <c r="BB578">
        <v>0.14000000000000001</v>
      </c>
      <c r="BC578">
        <v>3.0000000000000001E-3</v>
      </c>
    </row>
    <row r="579" spans="1:55">
      <c r="A579" t="s">
        <v>750</v>
      </c>
      <c r="B579" t="s">
        <v>154</v>
      </c>
      <c r="C579">
        <v>2017</v>
      </c>
      <c r="E579">
        <v>2017</v>
      </c>
      <c r="F579" t="s">
        <v>27</v>
      </c>
      <c r="G579" t="s">
        <v>19</v>
      </c>
      <c r="L579" t="s">
        <v>24</v>
      </c>
      <c r="N579">
        <v>21.1</v>
      </c>
      <c r="O579">
        <v>1.5249999999999999</v>
      </c>
      <c r="P579">
        <v>5.86</v>
      </c>
      <c r="U579">
        <v>20</v>
      </c>
      <c r="Z579">
        <v>0.44</v>
      </c>
      <c r="AB579" t="s">
        <v>156</v>
      </c>
      <c r="AD579" t="s">
        <v>33</v>
      </c>
      <c r="AF579">
        <v>0.27399543399999998</v>
      </c>
      <c r="AG579">
        <v>50000</v>
      </c>
      <c r="AH579">
        <v>1055000000</v>
      </c>
      <c r="AK579" t="s">
        <v>709</v>
      </c>
      <c r="AL579" t="s">
        <v>597</v>
      </c>
      <c r="AM579">
        <v>530.78719999999998</v>
      </c>
      <c r="AO579" t="s">
        <v>20</v>
      </c>
      <c r="AP579">
        <v>76250000</v>
      </c>
      <c r="AQ579">
        <v>293055556</v>
      </c>
      <c r="AR579">
        <v>21180556</v>
      </c>
      <c r="AS579">
        <v>87916666.700000003</v>
      </c>
      <c r="AT579">
        <v>6354166.7000000002</v>
      </c>
      <c r="AU579">
        <v>0.04</v>
      </c>
      <c r="AW579">
        <v>120010000</v>
      </c>
      <c r="AY579">
        <v>2400200000</v>
      </c>
      <c r="AZ579">
        <v>48004000</v>
      </c>
      <c r="BB579">
        <v>0.12</v>
      </c>
      <c r="BC579">
        <v>3.0000000000000001E-3</v>
      </c>
    </row>
    <row r="580" spans="1:55">
      <c r="A580" t="s">
        <v>750</v>
      </c>
      <c r="B580" t="s">
        <v>154</v>
      </c>
      <c r="C580">
        <v>2017</v>
      </c>
      <c r="E580">
        <v>2017</v>
      </c>
      <c r="F580" t="s">
        <v>27</v>
      </c>
      <c r="G580" t="s">
        <v>19</v>
      </c>
      <c r="L580" t="s">
        <v>24</v>
      </c>
      <c r="N580">
        <v>21.1</v>
      </c>
      <c r="O580">
        <v>1.5249999999999999</v>
      </c>
      <c r="P580">
        <v>5.86</v>
      </c>
      <c r="U580">
        <v>20</v>
      </c>
      <c r="Z580">
        <v>0.45</v>
      </c>
      <c r="AB580" t="s">
        <v>156</v>
      </c>
      <c r="AD580" t="s">
        <v>33</v>
      </c>
      <c r="AF580">
        <v>0.27045135199999998</v>
      </c>
      <c r="AG580">
        <v>130000</v>
      </c>
      <c r="AH580">
        <v>2743000000</v>
      </c>
      <c r="AK580" t="s">
        <v>709</v>
      </c>
      <c r="AL580" t="s">
        <v>597</v>
      </c>
      <c r="AM580">
        <v>530.78719999999998</v>
      </c>
      <c r="AO580" t="s">
        <v>20</v>
      </c>
      <c r="AP580">
        <v>198250000</v>
      </c>
      <c r="AQ580">
        <v>761944444</v>
      </c>
      <c r="AR580">
        <v>55069444</v>
      </c>
      <c r="AS580">
        <v>228583333.30000001</v>
      </c>
      <c r="AT580">
        <v>16520833.300000001</v>
      </c>
      <c r="AU580">
        <v>0.04</v>
      </c>
      <c r="AW580">
        <v>307990000</v>
      </c>
      <c r="AY580">
        <v>6159800000</v>
      </c>
      <c r="AZ580">
        <v>47383076.923076898</v>
      </c>
      <c r="BB580">
        <v>0.12</v>
      </c>
      <c r="BC580">
        <v>3.0000000000000001E-3</v>
      </c>
    </row>
    <row r="581" spans="1:55">
      <c r="A581" t="s">
        <v>750</v>
      </c>
      <c r="B581" t="s">
        <v>154</v>
      </c>
      <c r="C581">
        <v>2017</v>
      </c>
      <c r="E581">
        <v>2017</v>
      </c>
      <c r="F581" t="s">
        <v>27</v>
      </c>
      <c r="G581" t="s">
        <v>19</v>
      </c>
      <c r="L581" t="s">
        <v>24</v>
      </c>
      <c r="N581">
        <v>21.1</v>
      </c>
      <c r="O581">
        <v>1.5249999999999999</v>
      </c>
      <c r="P581">
        <v>5.86</v>
      </c>
      <c r="U581">
        <v>20</v>
      </c>
      <c r="Z581">
        <v>0.57999999999999996</v>
      </c>
      <c r="AB581" t="s">
        <v>156</v>
      </c>
      <c r="AD581" t="s">
        <v>33</v>
      </c>
      <c r="AF581">
        <v>0.20891564000000001</v>
      </c>
      <c r="AG581">
        <v>49500</v>
      </c>
      <c r="AH581">
        <v>1044450000</v>
      </c>
      <c r="AK581" t="s">
        <v>709</v>
      </c>
      <c r="AL581" t="s">
        <v>597</v>
      </c>
      <c r="AM581">
        <v>530.78719999999998</v>
      </c>
      <c r="AO581" t="s">
        <v>20</v>
      </c>
      <c r="AP581">
        <v>75487500</v>
      </c>
      <c r="AQ581">
        <v>290125000</v>
      </c>
      <c r="AR581">
        <v>20968750</v>
      </c>
      <c r="AS581">
        <v>87037500</v>
      </c>
      <c r="AT581">
        <v>6290625</v>
      </c>
      <c r="AU581">
        <v>0.05</v>
      </c>
      <c r="AW581">
        <v>90590000</v>
      </c>
      <c r="AY581">
        <v>1811800000</v>
      </c>
      <c r="AZ581">
        <v>36602020.202020198</v>
      </c>
      <c r="BB581">
        <v>0.16</v>
      </c>
      <c r="BC581">
        <v>3.0000000000000001E-3</v>
      </c>
    </row>
    <row r="582" spans="1:55">
      <c r="A582" t="s">
        <v>750</v>
      </c>
      <c r="B582" t="s">
        <v>154</v>
      </c>
      <c r="C582">
        <v>2017</v>
      </c>
      <c r="E582">
        <v>2017</v>
      </c>
      <c r="F582" t="s">
        <v>27</v>
      </c>
      <c r="G582" t="s">
        <v>19</v>
      </c>
      <c r="L582" t="s">
        <v>24</v>
      </c>
      <c r="N582">
        <v>21.1</v>
      </c>
      <c r="O582">
        <v>1.5249999999999999</v>
      </c>
      <c r="P582">
        <v>5.86</v>
      </c>
      <c r="U582">
        <v>20</v>
      </c>
      <c r="Z582">
        <v>0.54</v>
      </c>
      <c r="AB582" t="s">
        <v>156</v>
      </c>
      <c r="AD582" t="s">
        <v>33</v>
      </c>
      <c r="AF582">
        <v>0.22246575299999999</v>
      </c>
      <c r="AG582">
        <v>100000</v>
      </c>
      <c r="AH582">
        <v>2110000000</v>
      </c>
      <c r="AK582" t="s">
        <v>709</v>
      </c>
      <c r="AL582" t="s">
        <v>597</v>
      </c>
      <c r="AM582">
        <v>530.78719999999998</v>
      </c>
      <c r="AO582" t="s">
        <v>35</v>
      </c>
      <c r="AP582">
        <v>152500000</v>
      </c>
      <c r="AQ582">
        <v>586111111</v>
      </c>
      <c r="AR582">
        <v>42361111</v>
      </c>
      <c r="AS582">
        <v>175833333.30000001</v>
      </c>
      <c r="AT582">
        <v>12708333.300000001</v>
      </c>
      <c r="AU582">
        <v>0.05</v>
      </c>
      <c r="AW582">
        <v>194880000</v>
      </c>
      <c r="AY582">
        <v>3897600000</v>
      </c>
      <c r="AZ582">
        <v>38976000</v>
      </c>
      <c r="BB582">
        <v>0.15</v>
      </c>
      <c r="BC582">
        <v>3.0000000000000001E-3</v>
      </c>
    </row>
    <row r="583" spans="1:55">
      <c r="A583" t="s">
        <v>750</v>
      </c>
      <c r="B583" t="s">
        <v>154</v>
      </c>
      <c r="C583">
        <v>2017</v>
      </c>
      <c r="E583">
        <v>2017</v>
      </c>
      <c r="F583" t="s">
        <v>27</v>
      </c>
      <c r="G583" t="s">
        <v>19</v>
      </c>
      <c r="L583" t="s">
        <v>24</v>
      </c>
      <c r="N583">
        <v>21.1</v>
      </c>
      <c r="O583">
        <v>1.5249999999999999</v>
      </c>
      <c r="P583">
        <v>5.86</v>
      </c>
      <c r="U583">
        <v>20</v>
      </c>
      <c r="Z583">
        <v>0.48</v>
      </c>
      <c r="AB583" t="s">
        <v>156</v>
      </c>
      <c r="AD583" t="s">
        <v>33</v>
      </c>
      <c r="AF583">
        <v>0.25114155300000002</v>
      </c>
      <c r="AG583">
        <v>86000</v>
      </c>
      <c r="AH583">
        <v>1814600000</v>
      </c>
      <c r="AK583" t="s">
        <v>709</v>
      </c>
      <c r="AL583" t="s">
        <v>597</v>
      </c>
      <c r="AM583">
        <v>530.78719999999998</v>
      </c>
      <c r="AO583" t="s">
        <v>35</v>
      </c>
      <c r="AP583">
        <v>131150000</v>
      </c>
      <c r="AQ583">
        <v>504055556</v>
      </c>
      <c r="AR583">
        <v>36430556</v>
      </c>
      <c r="AS583">
        <v>151216666.69999999</v>
      </c>
      <c r="AT583">
        <v>10929166.699999999</v>
      </c>
      <c r="AU583">
        <v>0.04</v>
      </c>
      <c r="AW583">
        <v>189200000</v>
      </c>
      <c r="AY583">
        <v>3784000000</v>
      </c>
      <c r="AZ583">
        <v>44000000</v>
      </c>
      <c r="BB583">
        <v>0.13</v>
      </c>
      <c r="BC583">
        <v>3.0000000000000001E-3</v>
      </c>
    </row>
    <row r="584" spans="1:55">
      <c r="A584" t="s">
        <v>750</v>
      </c>
      <c r="B584" t="s">
        <v>154</v>
      </c>
      <c r="C584">
        <v>2017</v>
      </c>
      <c r="E584">
        <v>2017</v>
      </c>
      <c r="F584" t="s">
        <v>27</v>
      </c>
      <c r="G584" t="s">
        <v>19</v>
      </c>
      <c r="L584" t="s">
        <v>24</v>
      </c>
      <c r="N584">
        <v>21.1</v>
      </c>
      <c r="O584">
        <v>1.5249999999999999</v>
      </c>
      <c r="P584">
        <v>5.86</v>
      </c>
      <c r="U584">
        <v>20</v>
      </c>
      <c r="Z584">
        <v>0.33</v>
      </c>
      <c r="AB584" t="s">
        <v>156</v>
      </c>
      <c r="AD584" t="s">
        <v>33</v>
      </c>
      <c r="AF584">
        <v>0.37043378999999999</v>
      </c>
      <c r="AG584">
        <v>24000</v>
      </c>
      <c r="AH584">
        <v>506400000</v>
      </c>
      <c r="AK584" t="s">
        <v>709</v>
      </c>
      <c r="AL584" t="s">
        <v>597</v>
      </c>
      <c r="AM584">
        <v>530.78719999999998</v>
      </c>
      <c r="AO584" t="s">
        <v>35</v>
      </c>
      <c r="AP584">
        <v>36600000</v>
      </c>
      <c r="AQ584">
        <v>140666667</v>
      </c>
      <c r="AR584">
        <v>10166667</v>
      </c>
      <c r="AS584">
        <v>42200000</v>
      </c>
      <c r="AT584">
        <v>3050000</v>
      </c>
      <c r="AU584">
        <v>0.03</v>
      </c>
      <c r="AW584">
        <v>77880000</v>
      </c>
      <c r="AY584">
        <v>1557600000</v>
      </c>
      <c r="AZ584">
        <v>64900000</v>
      </c>
      <c r="BB584">
        <v>0.09</v>
      </c>
      <c r="BC584">
        <v>2E-3</v>
      </c>
    </row>
    <row r="585" spans="1:55">
      <c r="A585" t="s">
        <v>750</v>
      </c>
      <c r="B585" t="s">
        <v>154</v>
      </c>
      <c r="C585">
        <v>2017</v>
      </c>
      <c r="E585">
        <v>2017</v>
      </c>
      <c r="F585" t="s">
        <v>27</v>
      </c>
      <c r="G585" t="s">
        <v>19</v>
      </c>
      <c r="L585" t="s">
        <v>24</v>
      </c>
      <c r="N585">
        <v>21.1</v>
      </c>
      <c r="O585">
        <v>1.5249999999999999</v>
      </c>
      <c r="P585">
        <v>5.86</v>
      </c>
      <c r="U585">
        <v>20</v>
      </c>
      <c r="Z585">
        <v>0.51</v>
      </c>
      <c r="AB585" t="s">
        <v>156</v>
      </c>
      <c r="AD585" t="s">
        <v>33</v>
      </c>
      <c r="AF585">
        <v>0.23418613999999999</v>
      </c>
      <c r="AG585">
        <v>34000</v>
      </c>
      <c r="AH585">
        <v>717400000</v>
      </c>
      <c r="AK585" t="s">
        <v>709</v>
      </c>
      <c r="AL585" t="s">
        <v>597</v>
      </c>
      <c r="AM585">
        <v>530.78719999999998</v>
      </c>
      <c r="AO585" t="s">
        <v>20</v>
      </c>
      <c r="AP585">
        <v>51850000</v>
      </c>
      <c r="AQ585">
        <v>199277778</v>
      </c>
      <c r="AR585">
        <v>14402778</v>
      </c>
      <c r="AS585">
        <v>59783333.299999997</v>
      </c>
      <c r="AT585">
        <v>4320833.3</v>
      </c>
      <c r="AU585">
        <v>0.04</v>
      </c>
      <c r="AW585">
        <v>69750000</v>
      </c>
      <c r="AY585">
        <v>1395000000</v>
      </c>
      <c r="AZ585">
        <v>41029411.764705896</v>
      </c>
      <c r="BB585">
        <v>0.14000000000000001</v>
      </c>
      <c r="BC585">
        <v>3.0000000000000001E-3</v>
      </c>
    </row>
    <row r="586" spans="1:55">
      <c r="A586" t="s">
        <v>750</v>
      </c>
      <c r="B586" t="s">
        <v>154</v>
      </c>
      <c r="C586">
        <v>2017</v>
      </c>
      <c r="E586">
        <v>2017</v>
      </c>
      <c r="F586" t="s">
        <v>27</v>
      </c>
      <c r="G586" t="s">
        <v>19</v>
      </c>
      <c r="L586" t="s">
        <v>31</v>
      </c>
      <c r="N586">
        <v>43.85</v>
      </c>
      <c r="O586">
        <v>4.68</v>
      </c>
      <c r="P586">
        <v>12.18</v>
      </c>
      <c r="U586">
        <v>20</v>
      </c>
      <c r="Z586">
        <v>0.66</v>
      </c>
      <c r="AD586" t="s">
        <v>33</v>
      </c>
      <c r="AF586">
        <v>0.37718036500000002</v>
      </c>
      <c r="AG586">
        <v>100000</v>
      </c>
      <c r="AH586">
        <v>4385000000</v>
      </c>
      <c r="AK586" t="s">
        <v>709</v>
      </c>
      <c r="AL586" t="s">
        <v>597</v>
      </c>
      <c r="AM586">
        <v>530.78719999999998</v>
      </c>
      <c r="AO586" t="s">
        <v>35</v>
      </c>
      <c r="AP586">
        <v>467500000</v>
      </c>
      <c r="AQ586">
        <v>1218055556</v>
      </c>
      <c r="AR586">
        <v>129861111</v>
      </c>
      <c r="AS586">
        <v>365416666.69999999</v>
      </c>
      <c r="AT586">
        <v>38958333.299999997</v>
      </c>
      <c r="AU586">
        <v>0.06</v>
      </c>
      <c r="AW586">
        <v>330410000</v>
      </c>
      <c r="AY586">
        <v>6608200000</v>
      </c>
      <c r="AZ586">
        <v>66082000</v>
      </c>
      <c r="BB586">
        <v>0.18</v>
      </c>
      <c r="BC586">
        <v>6.0000000000000001E-3</v>
      </c>
    </row>
    <row r="587" spans="1:55">
      <c r="A587" t="s">
        <v>750</v>
      </c>
      <c r="B587" t="s">
        <v>154</v>
      </c>
      <c r="C587">
        <v>2017</v>
      </c>
      <c r="E587">
        <v>2017</v>
      </c>
      <c r="F587" t="s">
        <v>27</v>
      </c>
      <c r="G587" t="s">
        <v>19</v>
      </c>
      <c r="L587" t="s">
        <v>31</v>
      </c>
      <c r="N587">
        <v>43.85</v>
      </c>
      <c r="O587">
        <v>4.68</v>
      </c>
      <c r="P587">
        <v>12.18</v>
      </c>
      <c r="U587">
        <v>20</v>
      </c>
      <c r="Z587">
        <v>0.75</v>
      </c>
      <c r="AD587" t="s">
        <v>33</v>
      </c>
      <c r="AF587">
        <v>0.33180365299999998</v>
      </c>
      <c r="AG587">
        <v>200000</v>
      </c>
      <c r="AH587">
        <v>8770000000</v>
      </c>
      <c r="AK587" t="s">
        <v>709</v>
      </c>
      <c r="AL587" t="s">
        <v>597</v>
      </c>
      <c r="AM587">
        <v>530.78719999999998</v>
      </c>
      <c r="AO587" t="s">
        <v>35</v>
      </c>
      <c r="AP587">
        <v>935000000</v>
      </c>
      <c r="AQ587">
        <v>2436111111</v>
      </c>
      <c r="AR587">
        <v>259722222</v>
      </c>
      <c r="AS587">
        <v>730833333.29999995</v>
      </c>
      <c r="AT587">
        <v>77916666.700000003</v>
      </c>
      <c r="AU587">
        <v>0.06</v>
      </c>
      <c r="AW587">
        <v>581320000</v>
      </c>
      <c r="AY587">
        <v>11626400000</v>
      </c>
      <c r="AZ587">
        <v>58132000</v>
      </c>
      <c r="BB587">
        <v>0.21</v>
      </c>
      <c r="BC587">
        <v>7.0000000000000001E-3</v>
      </c>
    </row>
    <row r="588" spans="1:55">
      <c r="A588" t="s">
        <v>750</v>
      </c>
      <c r="B588" t="s">
        <v>154</v>
      </c>
      <c r="C588">
        <v>2017</v>
      </c>
      <c r="E588">
        <v>2017</v>
      </c>
      <c r="F588" t="s">
        <v>27</v>
      </c>
      <c r="G588" t="s">
        <v>19</v>
      </c>
      <c r="L588" t="s">
        <v>31</v>
      </c>
      <c r="N588">
        <v>43.85</v>
      </c>
      <c r="O588">
        <v>4.68</v>
      </c>
      <c r="P588">
        <v>12.18</v>
      </c>
      <c r="U588">
        <v>20</v>
      </c>
      <c r="Z588">
        <v>0.88</v>
      </c>
      <c r="AD588" t="s">
        <v>33</v>
      </c>
      <c r="AF588">
        <v>0.283847032</v>
      </c>
      <c r="AG588">
        <v>300000</v>
      </c>
      <c r="AH588">
        <v>13155000000</v>
      </c>
      <c r="AK588" t="s">
        <v>709</v>
      </c>
      <c r="AL588" t="s">
        <v>597</v>
      </c>
      <c r="AM588">
        <v>530.78719999999998</v>
      </c>
      <c r="AO588" t="s">
        <v>20</v>
      </c>
      <c r="AP588">
        <v>1402500000</v>
      </c>
      <c r="AQ588">
        <v>3654166667</v>
      </c>
      <c r="AR588">
        <v>389583333</v>
      </c>
      <c r="AS588">
        <v>1096250000</v>
      </c>
      <c r="AT588">
        <v>116875000</v>
      </c>
      <c r="AU588">
        <v>7.0000000000000007E-2</v>
      </c>
      <c r="AW588">
        <v>745950000</v>
      </c>
      <c r="AY588">
        <v>14919000000</v>
      </c>
      <c r="AZ588">
        <v>49730000</v>
      </c>
      <c r="BB588">
        <v>0.24</v>
      </c>
      <c r="BC588">
        <v>8.0000000000000002E-3</v>
      </c>
    </row>
    <row r="589" spans="1:55">
      <c r="A589" t="s">
        <v>750</v>
      </c>
      <c r="B589" t="s">
        <v>154</v>
      </c>
      <c r="C589">
        <v>2017</v>
      </c>
      <c r="E589">
        <v>2017</v>
      </c>
      <c r="F589" t="s">
        <v>27</v>
      </c>
      <c r="G589" t="s">
        <v>19</v>
      </c>
      <c r="L589" t="s">
        <v>31</v>
      </c>
      <c r="N589">
        <v>43.85</v>
      </c>
      <c r="O589">
        <v>4.68</v>
      </c>
      <c r="P589">
        <v>12.18</v>
      </c>
      <c r="U589">
        <v>20</v>
      </c>
      <c r="Z589">
        <v>0.81</v>
      </c>
      <c r="AD589" t="s">
        <v>33</v>
      </c>
      <c r="AF589">
        <v>0.30760363499999999</v>
      </c>
      <c r="AG589">
        <v>102000</v>
      </c>
      <c r="AH589">
        <v>4472700000</v>
      </c>
      <c r="AK589" t="s">
        <v>709</v>
      </c>
      <c r="AL589" t="s">
        <v>597</v>
      </c>
      <c r="AM589">
        <v>530.78719999999998</v>
      </c>
      <c r="AO589" t="s">
        <v>20</v>
      </c>
      <c r="AP589">
        <v>476850000</v>
      </c>
      <c r="AQ589">
        <v>1242416667</v>
      </c>
      <c r="AR589">
        <v>132458333</v>
      </c>
      <c r="AS589">
        <v>372725000</v>
      </c>
      <c r="AT589">
        <v>39737500</v>
      </c>
      <c r="AU589">
        <v>7.0000000000000007E-2</v>
      </c>
      <c r="AW589">
        <v>274850000</v>
      </c>
      <c r="AY589">
        <v>5497000000</v>
      </c>
      <c r="AZ589">
        <v>53892156.862745099</v>
      </c>
      <c r="BB589">
        <v>0.23</v>
      </c>
      <c r="BC589">
        <v>7.0000000000000001E-3</v>
      </c>
    </row>
    <row r="590" spans="1:55">
      <c r="A590" t="s">
        <v>750</v>
      </c>
      <c r="B590" t="s">
        <v>154</v>
      </c>
      <c r="C590">
        <v>2017</v>
      </c>
      <c r="E590">
        <v>2017</v>
      </c>
      <c r="F590" t="s">
        <v>27</v>
      </c>
      <c r="G590" t="s">
        <v>19</v>
      </c>
      <c r="L590" t="s">
        <v>31</v>
      </c>
      <c r="N590">
        <v>43.85</v>
      </c>
      <c r="O590">
        <v>4.68</v>
      </c>
      <c r="P590">
        <v>12.18</v>
      </c>
      <c r="U590">
        <v>20</v>
      </c>
      <c r="Z590">
        <v>0.95</v>
      </c>
      <c r="AD590" t="s">
        <v>33</v>
      </c>
      <c r="AF590">
        <v>0.26351767999999998</v>
      </c>
      <c r="AG590">
        <v>102200</v>
      </c>
      <c r="AH590">
        <v>4481470000</v>
      </c>
      <c r="AK590" t="s">
        <v>709</v>
      </c>
      <c r="AL590" t="s">
        <v>597</v>
      </c>
      <c r="AM590">
        <v>530.78719999999998</v>
      </c>
      <c r="AO590" t="s">
        <v>20</v>
      </c>
      <c r="AP590">
        <v>477785000</v>
      </c>
      <c r="AQ590">
        <v>1244852778</v>
      </c>
      <c r="AR590">
        <v>132718056</v>
      </c>
      <c r="AS590">
        <v>373455833.30000001</v>
      </c>
      <c r="AT590">
        <v>39815416.700000003</v>
      </c>
      <c r="AU590">
        <v>0.08</v>
      </c>
      <c r="AW590">
        <v>235920000</v>
      </c>
      <c r="AY590">
        <v>4718400000</v>
      </c>
      <c r="AZ590">
        <v>46168297.4559687</v>
      </c>
      <c r="BB590">
        <v>0.26</v>
      </c>
      <c r="BC590">
        <v>8.0000000000000002E-3</v>
      </c>
    </row>
    <row r="591" spans="1:55">
      <c r="A591" t="s">
        <v>750</v>
      </c>
      <c r="B591" t="s">
        <v>154</v>
      </c>
      <c r="C591">
        <v>2017</v>
      </c>
      <c r="E591">
        <v>2017</v>
      </c>
      <c r="F591" t="s">
        <v>27</v>
      </c>
      <c r="G591" t="s">
        <v>19</v>
      </c>
      <c r="L591" t="s">
        <v>31</v>
      </c>
      <c r="N591">
        <v>43.85</v>
      </c>
      <c r="O591">
        <v>4.68</v>
      </c>
      <c r="P591">
        <v>12.18</v>
      </c>
      <c r="U591">
        <v>20</v>
      </c>
      <c r="Z591">
        <v>0.62</v>
      </c>
      <c r="AD591" t="s">
        <v>33</v>
      </c>
      <c r="AF591">
        <v>0.40082762599999999</v>
      </c>
      <c r="AG591">
        <v>400000</v>
      </c>
      <c r="AH591">
        <v>17540000000</v>
      </c>
      <c r="AK591" t="s">
        <v>709</v>
      </c>
      <c r="AL591" t="s">
        <v>597</v>
      </c>
      <c r="AM591">
        <v>530.78719999999998</v>
      </c>
      <c r="AO591" t="s">
        <v>35</v>
      </c>
      <c r="AP591">
        <v>1870000000</v>
      </c>
      <c r="AQ591">
        <v>4872222222</v>
      </c>
      <c r="AR591">
        <v>519444444</v>
      </c>
      <c r="AS591">
        <v>1461666666.7</v>
      </c>
      <c r="AT591">
        <v>155833333.30000001</v>
      </c>
      <c r="AU591">
        <v>0.05</v>
      </c>
      <c r="AW591">
        <v>1404500000</v>
      </c>
      <c r="AY591">
        <v>28090000000</v>
      </c>
      <c r="AZ591">
        <v>70225000</v>
      </c>
      <c r="BB591">
        <v>0.17</v>
      </c>
      <c r="BC591">
        <v>6.0000000000000001E-3</v>
      </c>
    </row>
    <row r="592" spans="1:55">
      <c r="A592" t="s">
        <v>750</v>
      </c>
      <c r="B592" t="s">
        <v>154</v>
      </c>
      <c r="C592">
        <v>2017</v>
      </c>
      <c r="E592">
        <v>2017</v>
      </c>
      <c r="F592" t="s">
        <v>27</v>
      </c>
      <c r="G592" t="s">
        <v>19</v>
      </c>
      <c r="L592" t="s">
        <v>31</v>
      </c>
      <c r="N592">
        <v>43.85</v>
      </c>
      <c r="O592">
        <v>4.68</v>
      </c>
      <c r="P592">
        <v>12.18</v>
      </c>
      <c r="U592">
        <v>20</v>
      </c>
      <c r="Z592">
        <v>0.69</v>
      </c>
      <c r="AD592" t="s">
        <v>33</v>
      </c>
      <c r="AF592">
        <v>0.36301369900000002</v>
      </c>
      <c r="AG592">
        <v>50000</v>
      </c>
      <c r="AH592">
        <v>2192500000</v>
      </c>
      <c r="AK592" t="s">
        <v>709</v>
      </c>
      <c r="AL592" t="s">
        <v>597</v>
      </c>
      <c r="AM592">
        <v>530.78719999999998</v>
      </c>
      <c r="AO592" t="s">
        <v>20</v>
      </c>
      <c r="AP592">
        <v>233750000</v>
      </c>
      <c r="AQ592">
        <v>609027778</v>
      </c>
      <c r="AR592">
        <v>64930556</v>
      </c>
      <c r="AS592">
        <v>182708333.30000001</v>
      </c>
      <c r="AT592">
        <v>19479166.699999999</v>
      </c>
      <c r="AU592">
        <v>0.06</v>
      </c>
      <c r="AW592">
        <v>159000000</v>
      </c>
      <c r="AY592">
        <v>3180000000</v>
      </c>
      <c r="AZ592">
        <v>63600000</v>
      </c>
      <c r="BB592">
        <v>0.19</v>
      </c>
      <c r="BC592">
        <v>6.0000000000000001E-3</v>
      </c>
    </row>
    <row r="593" spans="1:56">
      <c r="A593" t="s">
        <v>750</v>
      </c>
      <c r="B593" t="s">
        <v>154</v>
      </c>
      <c r="C593">
        <v>2017</v>
      </c>
      <c r="E593">
        <v>2017</v>
      </c>
      <c r="F593" t="s">
        <v>27</v>
      </c>
      <c r="G593" t="s">
        <v>19</v>
      </c>
      <c r="L593" t="s">
        <v>31</v>
      </c>
      <c r="N593">
        <v>43.85</v>
      </c>
      <c r="O593">
        <v>4.68</v>
      </c>
      <c r="P593">
        <v>12.18</v>
      </c>
      <c r="U593">
        <v>20</v>
      </c>
      <c r="Z593">
        <v>0.63</v>
      </c>
      <c r="AD593" t="s">
        <v>33</v>
      </c>
      <c r="AF593">
        <v>0.39792237400000002</v>
      </c>
      <c r="AG593">
        <v>250000</v>
      </c>
      <c r="AH593">
        <v>10962500000</v>
      </c>
      <c r="AK593" t="s">
        <v>709</v>
      </c>
      <c r="AL593" t="s">
        <v>597</v>
      </c>
      <c r="AM593">
        <v>530.78719999999998</v>
      </c>
      <c r="AO593" t="s">
        <v>35</v>
      </c>
      <c r="AP593">
        <v>1168750000</v>
      </c>
      <c r="AQ593">
        <v>3045138889</v>
      </c>
      <c r="AR593">
        <v>324652778</v>
      </c>
      <c r="AS593">
        <v>913541666.70000005</v>
      </c>
      <c r="AT593">
        <v>97395833.299999997</v>
      </c>
      <c r="AU593">
        <v>0.05</v>
      </c>
      <c r="AW593">
        <v>871450000</v>
      </c>
      <c r="AY593">
        <v>17429000000</v>
      </c>
      <c r="AZ593">
        <v>69716000</v>
      </c>
      <c r="BB593">
        <v>0.17</v>
      </c>
      <c r="BC593">
        <v>6.0000000000000001E-3</v>
      </c>
    </row>
    <row r="594" spans="1:56">
      <c r="A594" t="s">
        <v>749</v>
      </c>
      <c r="B594" t="s">
        <v>157</v>
      </c>
      <c r="C594">
        <v>2017</v>
      </c>
      <c r="E594">
        <v>2017</v>
      </c>
      <c r="F594" t="s">
        <v>27</v>
      </c>
      <c r="G594" t="s">
        <v>158</v>
      </c>
      <c r="H594">
        <v>3000</v>
      </c>
      <c r="I594">
        <v>31</v>
      </c>
      <c r="L594" t="s">
        <v>24</v>
      </c>
      <c r="M594">
        <v>65</v>
      </c>
      <c r="Q594">
        <v>37674419</v>
      </c>
      <c r="S594">
        <v>0.41</v>
      </c>
      <c r="U594">
        <v>20</v>
      </c>
      <c r="AD594" t="s">
        <v>33</v>
      </c>
      <c r="AE594">
        <v>90</v>
      </c>
      <c r="AF594">
        <v>0.44189129500000002</v>
      </c>
      <c r="AG594">
        <v>93000</v>
      </c>
      <c r="AJ594">
        <v>30</v>
      </c>
      <c r="AK594" t="s">
        <v>709</v>
      </c>
      <c r="AL594" t="s">
        <v>597</v>
      </c>
      <c r="AM594">
        <v>530.78719999999998</v>
      </c>
      <c r="AO594" t="s">
        <v>20</v>
      </c>
      <c r="AW594">
        <v>360000000</v>
      </c>
      <c r="AY594">
        <v>7200000000</v>
      </c>
      <c r="AZ594">
        <v>77419354.838709697</v>
      </c>
      <c r="BD594">
        <v>5.23</v>
      </c>
    </row>
    <row r="595" spans="1:56">
      <c r="A595" t="s">
        <v>749</v>
      </c>
      <c r="B595" t="s">
        <v>157</v>
      </c>
      <c r="C595">
        <v>2017</v>
      </c>
      <c r="E595">
        <v>2017</v>
      </c>
      <c r="F595" t="s">
        <v>27</v>
      </c>
      <c r="G595" t="s">
        <v>158</v>
      </c>
      <c r="H595">
        <v>2306.4516129029998</v>
      </c>
      <c r="I595">
        <v>62</v>
      </c>
      <c r="L595" t="s">
        <v>24</v>
      </c>
      <c r="M595">
        <v>68</v>
      </c>
      <c r="Q595">
        <v>67011236</v>
      </c>
      <c r="S595">
        <v>0.47</v>
      </c>
      <c r="U595">
        <v>20</v>
      </c>
      <c r="AD595" t="s">
        <v>33</v>
      </c>
      <c r="AE595">
        <v>82</v>
      </c>
      <c r="AF595">
        <v>0.39674936900000002</v>
      </c>
      <c r="AG595">
        <v>143000</v>
      </c>
      <c r="AJ595">
        <v>30</v>
      </c>
      <c r="AK595" t="s">
        <v>709</v>
      </c>
      <c r="AL595" t="s">
        <v>597</v>
      </c>
      <c r="AM595">
        <v>530.78719999999998</v>
      </c>
      <c r="AO595" t="s">
        <v>20</v>
      </c>
      <c r="AW595">
        <v>497000000</v>
      </c>
      <c r="AY595">
        <v>9940000000</v>
      </c>
      <c r="AZ595">
        <v>69510489.510489494</v>
      </c>
      <c r="BD595">
        <v>6.74</v>
      </c>
    </row>
    <row r="596" spans="1:56">
      <c r="A596" t="s">
        <v>749</v>
      </c>
      <c r="B596" t="s">
        <v>157</v>
      </c>
      <c r="C596">
        <v>2017</v>
      </c>
      <c r="E596">
        <v>2017</v>
      </c>
      <c r="F596" t="s">
        <v>27</v>
      </c>
      <c r="G596" t="s">
        <v>158</v>
      </c>
      <c r="H596">
        <v>3000</v>
      </c>
      <c r="I596">
        <v>12</v>
      </c>
      <c r="L596" t="s">
        <v>24</v>
      </c>
      <c r="M596">
        <v>80</v>
      </c>
      <c r="Q596">
        <v>14736842</v>
      </c>
      <c r="S596">
        <v>0.41</v>
      </c>
      <c r="U596">
        <v>20</v>
      </c>
      <c r="AD596" t="s">
        <v>33</v>
      </c>
      <c r="AE596">
        <v>90</v>
      </c>
      <c r="AF596">
        <v>0.33295281599999998</v>
      </c>
      <c r="AG596">
        <v>36000</v>
      </c>
      <c r="AJ596">
        <v>30</v>
      </c>
      <c r="AK596" t="s">
        <v>709</v>
      </c>
      <c r="AL596" t="s">
        <v>597</v>
      </c>
      <c r="AM596">
        <v>530.78719999999998</v>
      </c>
      <c r="AO596" t="s">
        <v>20</v>
      </c>
      <c r="AW596">
        <v>105000000</v>
      </c>
      <c r="AY596">
        <v>2100000000</v>
      </c>
      <c r="AZ596">
        <v>58333333.333333299</v>
      </c>
      <c r="BD596">
        <v>7.02</v>
      </c>
    </row>
    <row r="597" spans="1:56">
      <c r="A597" t="s">
        <v>749</v>
      </c>
      <c r="B597" t="s">
        <v>157</v>
      </c>
      <c r="C597">
        <v>2017</v>
      </c>
      <c r="E597">
        <v>2017</v>
      </c>
      <c r="F597" t="s">
        <v>27</v>
      </c>
      <c r="G597" t="s">
        <v>158</v>
      </c>
      <c r="H597">
        <v>2300</v>
      </c>
      <c r="I597">
        <v>28</v>
      </c>
      <c r="L597" t="s">
        <v>24</v>
      </c>
      <c r="M597">
        <v>80</v>
      </c>
      <c r="Q597">
        <v>34979757</v>
      </c>
      <c r="S597">
        <v>0.54</v>
      </c>
      <c r="U597">
        <v>20</v>
      </c>
      <c r="AD597" t="s">
        <v>33</v>
      </c>
      <c r="AE597">
        <v>101</v>
      </c>
      <c r="AF597">
        <v>0.42542329600000001</v>
      </c>
      <c r="AG597">
        <v>64400</v>
      </c>
      <c r="AJ597">
        <v>30</v>
      </c>
      <c r="AK597" t="s">
        <v>709</v>
      </c>
      <c r="AL597" t="s">
        <v>597</v>
      </c>
      <c r="AM597">
        <v>530.78719999999998</v>
      </c>
      <c r="AO597" t="s">
        <v>20</v>
      </c>
      <c r="AW597">
        <v>240000000</v>
      </c>
      <c r="AY597">
        <v>4800000000</v>
      </c>
      <c r="AZ597">
        <v>74534161.490683198</v>
      </c>
      <c r="BD597">
        <v>7.29</v>
      </c>
    </row>
    <row r="598" spans="1:56">
      <c r="A598" t="s">
        <v>749</v>
      </c>
      <c r="B598" t="s">
        <v>157</v>
      </c>
      <c r="C598">
        <v>2017</v>
      </c>
      <c r="E598">
        <v>2017</v>
      </c>
      <c r="F598" t="s">
        <v>27</v>
      </c>
      <c r="G598" t="s">
        <v>158</v>
      </c>
      <c r="H598">
        <v>2000</v>
      </c>
      <c r="I598">
        <v>29</v>
      </c>
      <c r="L598" t="s">
        <v>24</v>
      </c>
      <c r="M598">
        <v>70</v>
      </c>
      <c r="Q598">
        <v>29608989</v>
      </c>
      <c r="S598">
        <v>0.51</v>
      </c>
      <c r="U598">
        <v>20</v>
      </c>
      <c r="AD598" t="s">
        <v>33</v>
      </c>
      <c r="AE598">
        <v>80</v>
      </c>
      <c r="AF598">
        <v>0.36017949900000001</v>
      </c>
      <c r="AG598">
        <v>58000</v>
      </c>
      <c r="AJ598">
        <v>30</v>
      </c>
      <c r="AK598" t="s">
        <v>709</v>
      </c>
      <c r="AL598" t="s">
        <v>597</v>
      </c>
      <c r="AM598">
        <v>530.78719999999998</v>
      </c>
      <c r="AO598" t="s">
        <v>20</v>
      </c>
      <c r="AW598">
        <v>183000000</v>
      </c>
      <c r="AY598">
        <v>3660000000</v>
      </c>
      <c r="AZ598">
        <v>63103448.275862098</v>
      </c>
      <c r="BD598">
        <v>8.09</v>
      </c>
    </row>
    <row r="599" spans="1:56">
      <c r="A599" t="s">
        <v>749</v>
      </c>
      <c r="B599" t="s">
        <v>157</v>
      </c>
      <c r="C599">
        <v>2017</v>
      </c>
      <c r="E599">
        <v>2017</v>
      </c>
      <c r="F599" t="s">
        <v>27</v>
      </c>
      <c r="G599" t="s">
        <v>158</v>
      </c>
      <c r="H599">
        <v>1654.545454545</v>
      </c>
      <c r="I599">
        <v>55</v>
      </c>
      <c r="L599" t="s">
        <v>24</v>
      </c>
      <c r="M599">
        <v>70</v>
      </c>
      <c r="Q599">
        <v>55450237</v>
      </c>
      <c r="S599">
        <v>0.61</v>
      </c>
      <c r="U599">
        <v>20</v>
      </c>
      <c r="AD599" t="s">
        <v>33</v>
      </c>
      <c r="AE599">
        <v>80</v>
      </c>
      <c r="AF599">
        <v>0.40769732600000003</v>
      </c>
      <c r="AG599">
        <v>91000</v>
      </c>
      <c r="AJ599">
        <v>30</v>
      </c>
      <c r="AK599" t="s">
        <v>709</v>
      </c>
      <c r="AL599" t="s">
        <v>597</v>
      </c>
      <c r="AM599">
        <v>530.78719999999998</v>
      </c>
      <c r="AO599" t="s">
        <v>20</v>
      </c>
      <c r="AW599">
        <v>325000000</v>
      </c>
      <c r="AY599">
        <v>6500000000</v>
      </c>
      <c r="AZ599">
        <v>71428571.428571403</v>
      </c>
      <c r="BD599">
        <v>8.5299999999999994</v>
      </c>
    </row>
    <row r="600" spans="1:56">
      <c r="A600" t="s">
        <v>749</v>
      </c>
      <c r="B600" t="s">
        <v>157</v>
      </c>
      <c r="C600">
        <v>2017</v>
      </c>
      <c r="E600">
        <v>2017</v>
      </c>
      <c r="F600" t="s">
        <v>27</v>
      </c>
      <c r="G600" t="s">
        <v>158</v>
      </c>
      <c r="H600">
        <v>650.48543689300004</v>
      </c>
      <c r="I600">
        <v>103</v>
      </c>
      <c r="L600" t="s">
        <v>24</v>
      </c>
      <c r="M600">
        <v>50</v>
      </c>
      <c r="Q600">
        <v>70909091</v>
      </c>
      <c r="S600">
        <v>1.06</v>
      </c>
      <c r="U600">
        <v>20</v>
      </c>
      <c r="AD600" t="s">
        <v>33</v>
      </c>
      <c r="AE600">
        <v>47</v>
      </c>
      <c r="AF600">
        <v>0.44299052700000002</v>
      </c>
      <c r="AG600">
        <v>67000</v>
      </c>
      <c r="AJ600">
        <v>30</v>
      </c>
      <c r="AK600" t="s">
        <v>709</v>
      </c>
      <c r="AL600" t="s">
        <v>597</v>
      </c>
      <c r="AM600">
        <v>530.78719999999998</v>
      </c>
      <c r="AO600" t="s">
        <v>20</v>
      </c>
      <c r="AW600">
        <v>260000000</v>
      </c>
      <c r="AY600">
        <v>5200000000</v>
      </c>
      <c r="AZ600">
        <v>77611940.298507497</v>
      </c>
      <c r="BD600">
        <v>13.64</v>
      </c>
    </row>
    <row r="601" spans="1:56">
      <c r="A601" t="s">
        <v>749</v>
      </c>
      <c r="B601" t="s">
        <v>157</v>
      </c>
      <c r="C601">
        <v>2017</v>
      </c>
      <c r="E601">
        <v>2017</v>
      </c>
      <c r="F601" t="s">
        <v>27</v>
      </c>
      <c r="G601" t="s">
        <v>158</v>
      </c>
      <c r="H601">
        <v>855.55555555599994</v>
      </c>
      <c r="I601">
        <v>9</v>
      </c>
      <c r="L601" t="s">
        <v>24</v>
      </c>
      <c r="M601">
        <v>45</v>
      </c>
      <c r="Q601">
        <v>6023529</v>
      </c>
      <c r="S601">
        <v>0.78</v>
      </c>
      <c r="U601">
        <v>20</v>
      </c>
      <c r="AD601" t="s">
        <v>33</v>
      </c>
      <c r="AE601">
        <v>52</v>
      </c>
      <c r="AF601">
        <v>0.37952914700000001</v>
      </c>
      <c r="AG601">
        <v>7700</v>
      </c>
      <c r="AJ601">
        <v>30</v>
      </c>
      <c r="AK601" t="s">
        <v>709</v>
      </c>
      <c r="AL601" t="s">
        <v>597</v>
      </c>
      <c r="AM601">
        <v>530.78719999999998</v>
      </c>
      <c r="AO601" t="s">
        <v>20</v>
      </c>
      <c r="AW601">
        <v>25600000</v>
      </c>
      <c r="AY601">
        <v>512000000</v>
      </c>
      <c r="AZ601">
        <v>66493506.493506499</v>
      </c>
      <c r="BD601">
        <v>11.76</v>
      </c>
    </row>
    <row r="602" spans="1:56">
      <c r="A602" t="s">
        <v>749</v>
      </c>
      <c r="B602" t="s">
        <v>157</v>
      </c>
      <c r="C602">
        <v>2017</v>
      </c>
      <c r="E602">
        <v>2017</v>
      </c>
      <c r="F602" t="s">
        <v>27</v>
      </c>
      <c r="G602" t="s">
        <v>158</v>
      </c>
      <c r="H602">
        <v>500</v>
      </c>
      <c r="I602">
        <v>97</v>
      </c>
      <c r="L602" t="s">
        <v>24</v>
      </c>
      <c r="M602">
        <v>30</v>
      </c>
      <c r="Q602">
        <v>48000000</v>
      </c>
      <c r="S602">
        <v>0.99</v>
      </c>
      <c r="U602">
        <v>20</v>
      </c>
      <c r="AD602" t="s">
        <v>33</v>
      </c>
      <c r="AE602">
        <v>33</v>
      </c>
      <c r="AF602">
        <v>0.28715341500000002</v>
      </c>
      <c r="AG602">
        <v>48500</v>
      </c>
      <c r="AJ602">
        <v>30</v>
      </c>
      <c r="AK602" t="s">
        <v>709</v>
      </c>
      <c r="AL602" t="s">
        <v>597</v>
      </c>
      <c r="AM602">
        <v>530.78719999999998</v>
      </c>
      <c r="AO602" t="s">
        <v>20</v>
      </c>
      <c r="AW602">
        <v>122000000</v>
      </c>
      <c r="AY602">
        <v>2440000000</v>
      </c>
      <c r="AZ602">
        <v>50309278.3505155</v>
      </c>
      <c r="BD602">
        <v>19.670000000000002</v>
      </c>
    </row>
    <row r="603" spans="1:56">
      <c r="A603" t="s">
        <v>749</v>
      </c>
      <c r="B603" t="s">
        <v>157</v>
      </c>
      <c r="C603">
        <v>2017</v>
      </c>
      <c r="E603">
        <v>2017</v>
      </c>
      <c r="F603" t="s">
        <v>27</v>
      </c>
      <c r="G603" t="s">
        <v>158</v>
      </c>
      <c r="H603">
        <v>580</v>
      </c>
      <c r="I603">
        <v>15</v>
      </c>
      <c r="L603" t="s">
        <v>24</v>
      </c>
      <c r="M603">
        <v>46</v>
      </c>
      <c r="Q603">
        <v>9485030</v>
      </c>
      <c r="S603">
        <v>1.0900000000000001</v>
      </c>
      <c r="U603">
        <v>20</v>
      </c>
      <c r="AD603" t="s">
        <v>33</v>
      </c>
      <c r="AE603">
        <v>40</v>
      </c>
      <c r="AF603">
        <v>0.28866845099999999</v>
      </c>
      <c r="AG603">
        <v>8700</v>
      </c>
      <c r="AJ603">
        <v>30</v>
      </c>
      <c r="AK603" t="s">
        <v>709</v>
      </c>
      <c r="AL603" t="s">
        <v>597</v>
      </c>
      <c r="AM603">
        <v>530.78719999999998</v>
      </c>
      <c r="AO603" t="s">
        <v>20</v>
      </c>
      <c r="AW603">
        <v>22000000</v>
      </c>
      <c r="AY603">
        <v>440000000</v>
      </c>
      <c r="AZ603">
        <v>50574712.643678203</v>
      </c>
      <c r="BD603">
        <v>21.56</v>
      </c>
    </row>
    <row r="604" spans="1:56">
      <c r="A604" t="s">
        <v>749</v>
      </c>
      <c r="B604" t="s">
        <v>157</v>
      </c>
      <c r="C604">
        <v>2017</v>
      </c>
      <c r="E604">
        <v>2017</v>
      </c>
      <c r="F604" t="s">
        <v>27</v>
      </c>
      <c r="G604" t="s">
        <v>158</v>
      </c>
      <c r="H604">
        <v>230</v>
      </c>
      <c r="I604">
        <v>1</v>
      </c>
      <c r="L604" t="s">
        <v>24</v>
      </c>
      <c r="M604">
        <v>31</v>
      </c>
      <c r="Q604">
        <v>522000</v>
      </c>
      <c r="S604">
        <v>2.27</v>
      </c>
      <c r="U604">
        <v>20</v>
      </c>
      <c r="AD604" t="s">
        <v>33</v>
      </c>
      <c r="AE604">
        <v>30</v>
      </c>
      <c r="AF604">
        <v>0.43180464600000001</v>
      </c>
      <c r="AG604">
        <v>230</v>
      </c>
      <c r="AJ604">
        <v>30</v>
      </c>
      <c r="AK604" t="s">
        <v>709</v>
      </c>
      <c r="AL604" t="s">
        <v>597</v>
      </c>
      <c r="AM604">
        <v>530.78719999999998</v>
      </c>
      <c r="AO604" t="s">
        <v>20</v>
      </c>
      <c r="AW604">
        <v>870000</v>
      </c>
      <c r="AY604">
        <v>17400000</v>
      </c>
      <c r="AZ604">
        <v>75652173.913043499</v>
      </c>
      <c r="BD604">
        <v>30</v>
      </c>
    </row>
    <row r="605" spans="1:56">
      <c r="A605" t="s">
        <v>737</v>
      </c>
      <c r="B605" t="s">
        <v>229</v>
      </c>
      <c r="C605">
        <v>2017</v>
      </c>
      <c r="E605">
        <v>2017</v>
      </c>
      <c r="F605" t="s">
        <v>27</v>
      </c>
      <c r="G605" t="s">
        <v>224</v>
      </c>
      <c r="I605">
        <v>1</v>
      </c>
      <c r="L605" t="s">
        <v>31</v>
      </c>
      <c r="AB605" t="s">
        <v>230</v>
      </c>
      <c r="AD605" t="s">
        <v>33</v>
      </c>
      <c r="AG605">
        <v>5000</v>
      </c>
      <c r="AK605" t="s">
        <v>709</v>
      </c>
      <c r="AL605" t="s">
        <v>597</v>
      </c>
      <c r="AM605">
        <v>530.78719999999998</v>
      </c>
      <c r="AO605" t="s">
        <v>35</v>
      </c>
      <c r="BD605">
        <v>6.8</v>
      </c>
    </row>
    <row r="606" spans="1:56">
      <c r="A606" t="s">
        <v>679</v>
      </c>
      <c r="B606" t="s">
        <v>244</v>
      </c>
      <c r="C606">
        <v>2017</v>
      </c>
      <c r="E606">
        <v>2017</v>
      </c>
      <c r="F606" t="s">
        <v>27</v>
      </c>
      <c r="G606" t="s">
        <v>245</v>
      </c>
      <c r="H606">
        <v>2000</v>
      </c>
      <c r="I606">
        <v>52</v>
      </c>
      <c r="J606" t="s">
        <v>246</v>
      </c>
      <c r="L606" t="s">
        <v>31</v>
      </c>
      <c r="N606">
        <v>11.52</v>
      </c>
      <c r="P606">
        <v>3.2</v>
      </c>
      <c r="U606">
        <v>20</v>
      </c>
      <c r="Z606">
        <v>0.19</v>
      </c>
      <c r="AB606" t="s">
        <v>247</v>
      </c>
      <c r="AD606" t="s">
        <v>33</v>
      </c>
      <c r="AF606">
        <v>0.34246575299999998</v>
      </c>
      <c r="AG606">
        <v>104000</v>
      </c>
      <c r="AH606">
        <v>1198080000</v>
      </c>
      <c r="AK606" t="s">
        <v>709</v>
      </c>
      <c r="AL606" t="s">
        <v>597</v>
      </c>
      <c r="AM606">
        <v>530.78719999999998</v>
      </c>
      <c r="AO606" t="s">
        <v>35</v>
      </c>
      <c r="AQ606">
        <v>332800000</v>
      </c>
      <c r="AS606">
        <v>99840000</v>
      </c>
      <c r="AU606">
        <v>0.02</v>
      </c>
      <c r="AW606">
        <v>312000000</v>
      </c>
      <c r="AY606">
        <v>6240000000</v>
      </c>
      <c r="AZ606">
        <v>60000000</v>
      </c>
      <c r="BB606">
        <v>0.05</v>
      </c>
    </row>
    <row r="607" spans="1:56">
      <c r="A607" t="s">
        <v>679</v>
      </c>
      <c r="B607" t="s">
        <v>244</v>
      </c>
      <c r="C607">
        <v>2017</v>
      </c>
      <c r="E607">
        <v>2017</v>
      </c>
      <c r="F607" t="s">
        <v>27</v>
      </c>
      <c r="G607" t="s">
        <v>245</v>
      </c>
      <c r="H607">
        <v>2000</v>
      </c>
      <c r="I607">
        <v>52</v>
      </c>
      <c r="J607" t="s">
        <v>246</v>
      </c>
      <c r="L607" t="s">
        <v>31</v>
      </c>
      <c r="N607">
        <v>8.1</v>
      </c>
      <c r="P607">
        <v>2.25</v>
      </c>
      <c r="U607">
        <v>20</v>
      </c>
      <c r="Z607">
        <v>0.14000000000000001</v>
      </c>
      <c r="AB607" t="s">
        <v>248</v>
      </c>
      <c r="AD607" t="s">
        <v>33</v>
      </c>
      <c r="AF607">
        <v>0.34246575299999998</v>
      </c>
      <c r="AG607">
        <v>104000</v>
      </c>
      <c r="AH607">
        <v>842400000</v>
      </c>
      <c r="AK607" t="s">
        <v>709</v>
      </c>
      <c r="AL607" t="s">
        <v>597</v>
      </c>
      <c r="AM607">
        <v>530.78719999999998</v>
      </c>
      <c r="AO607" t="s">
        <v>35</v>
      </c>
      <c r="AQ607">
        <v>234000000</v>
      </c>
      <c r="AS607">
        <v>70200000</v>
      </c>
      <c r="AU607">
        <v>0.01</v>
      </c>
      <c r="AW607">
        <v>312000000</v>
      </c>
      <c r="AY607">
        <v>6240000000</v>
      </c>
      <c r="AZ607">
        <v>60000000</v>
      </c>
      <c r="BB607">
        <v>0.04</v>
      </c>
    </row>
    <row r="608" spans="1:56">
      <c r="A608" t="s">
        <v>679</v>
      </c>
      <c r="B608" t="s">
        <v>244</v>
      </c>
      <c r="C608">
        <v>2017</v>
      </c>
      <c r="E608">
        <v>2017</v>
      </c>
      <c r="F608" t="s">
        <v>27</v>
      </c>
      <c r="G608" t="s">
        <v>245</v>
      </c>
      <c r="H608">
        <v>2000</v>
      </c>
      <c r="I608">
        <v>52</v>
      </c>
      <c r="J608" t="s">
        <v>246</v>
      </c>
      <c r="L608" t="s">
        <v>31</v>
      </c>
      <c r="N608">
        <v>12.96</v>
      </c>
      <c r="P608">
        <v>3.6</v>
      </c>
      <c r="U608">
        <v>20</v>
      </c>
      <c r="Z608">
        <v>0.22</v>
      </c>
      <c r="AB608" t="s">
        <v>249</v>
      </c>
      <c r="AD608" t="s">
        <v>33</v>
      </c>
      <c r="AF608">
        <v>0.34246575299999998</v>
      </c>
      <c r="AG608">
        <v>104000</v>
      </c>
      <c r="AH608">
        <v>1347840000</v>
      </c>
      <c r="AK608" t="s">
        <v>709</v>
      </c>
      <c r="AL608" t="s">
        <v>597</v>
      </c>
      <c r="AM608">
        <v>530.78719999999998</v>
      </c>
      <c r="AO608" t="s">
        <v>35</v>
      </c>
      <c r="AQ608">
        <v>374400000</v>
      </c>
      <c r="AS608">
        <v>112320000</v>
      </c>
      <c r="AU608">
        <v>0.02</v>
      </c>
      <c r="AW608">
        <v>312000000</v>
      </c>
      <c r="AY608">
        <v>6240000000</v>
      </c>
      <c r="AZ608">
        <v>60000000</v>
      </c>
      <c r="BB608">
        <v>0.06</v>
      </c>
    </row>
    <row r="609" spans="1:57">
      <c r="A609" t="s">
        <v>679</v>
      </c>
      <c r="B609" t="s">
        <v>244</v>
      </c>
      <c r="C609">
        <v>2017</v>
      </c>
      <c r="E609">
        <v>2017</v>
      </c>
      <c r="F609" t="s">
        <v>27</v>
      </c>
      <c r="G609" t="s">
        <v>245</v>
      </c>
      <c r="H609">
        <v>2000</v>
      </c>
      <c r="I609">
        <v>52</v>
      </c>
      <c r="J609" t="s">
        <v>246</v>
      </c>
      <c r="L609" t="s">
        <v>31</v>
      </c>
      <c r="N609">
        <v>9.3000000000000007</v>
      </c>
      <c r="P609">
        <v>2.58</v>
      </c>
      <c r="U609">
        <v>20</v>
      </c>
      <c r="Z609">
        <v>0.16</v>
      </c>
      <c r="AB609" t="s">
        <v>250</v>
      </c>
      <c r="AD609" t="s">
        <v>33</v>
      </c>
      <c r="AF609">
        <v>0.34246575299999998</v>
      </c>
      <c r="AG609">
        <v>104000</v>
      </c>
      <c r="AH609">
        <v>967200000</v>
      </c>
      <c r="AK609" t="s">
        <v>709</v>
      </c>
      <c r="AL609" t="s">
        <v>597</v>
      </c>
      <c r="AM609">
        <v>530.78719999999998</v>
      </c>
      <c r="AO609" t="s">
        <v>35</v>
      </c>
      <c r="AQ609">
        <v>268666667</v>
      </c>
      <c r="AS609">
        <v>80600000</v>
      </c>
      <c r="AU609">
        <v>0.01</v>
      </c>
      <c r="AW609">
        <v>312000000</v>
      </c>
      <c r="AY609">
        <v>6240000000</v>
      </c>
      <c r="AZ609">
        <v>60000000</v>
      </c>
      <c r="BB609">
        <v>0.04</v>
      </c>
    </row>
    <row r="610" spans="1:57">
      <c r="A610" t="s">
        <v>731</v>
      </c>
      <c r="B610" t="s">
        <v>251</v>
      </c>
      <c r="C610">
        <v>2017</v>
      </c>
      <c r="E610">
        <v>2017</v>
      </c>
      <c r="F610" t="s">
        <v>109</v>
      </c>
      <c r="G610" t="s">
        <v>224</v>
      </c>
      <c r="J610" t="s">
        <v>252</v>
      </c>
      <c r="L610" t="s">
        <v>24</v>
      </c>
      <c r="AK610" t="s">
        <v>709</v>
      </c>
      <c r="AL610" t="s">
        <v>597</v>
      </c>
      <c r="AM610">
        <v>530.78719999999998</v>
      </c>
      <c r="AO610" t="s">
        <v>20</v>
      </c>
      <c r="BD610">
        <v>12.96</v>
      </c>
      <c r="BE610">
        <v>8.68</v>
      </c>
    </row>
    <row r="611" spans="1:57">
      <c r="A611" t="s">
        <v>731</v>
      </c>
      <c r="B611" t="s">
        <v>251</v>
      </c>
      <c r="C611">
        <v>2017</v>
      </c>
      <c r="E611">
        <v>2017</v>
      </c>
      <c r="F611" t="s">
        <v>109</v>
      </c>
      <c r="G611" t="s">
        <v>224</v>
      </c>
      <c r="J611" t="s">
        <v>252</v>
      </c>
      <c r="L611" t="s">
        <v>31</v>
      </c>
      <c r="AB611" t="s">
        <v>253</v>
      </c>
      <c r="AK611" t="s">
        <v>709</v>
      </c>
      <c r="AL611" t="s">
        <v>597</v>
      </c>
      <c r="AM611">
        <v>530.78719999999998</v>
      </c>
      <c r="AO611" t="s">
        <v>20</v>
      </c>
      <c r="BD611">
        <v>14.63</v>
      </c>
      <c r="BE611">
        <v>2.99</v>
      </c>
    </row>
    <row r="612" spans="1:57">
      <c r="A612" t="s">
        <v>731</v>
      </c>
      <c r="B612" t="s">
        <v>251</v>
      </c>
      <c r="C612">
        <v>2017</v>
      </c>
      <c r="E612">
        <v>2017</v>
      </c>
      <c r="F612" t="s">
        <v>109</v>
      </c>
      <c r="G612" t="s">
        <v>224</v>
      </c>
      <c r="J612" t="s">
        <v>252</v>
      </c>
      <c r="L612" t="s">
        <v>31</v>
      </c>
      <c r="AB612" t="s">
        <v>254</v>
      </c>
      <c r="AK612" t="s">
        <v>709</v>
      </c>
      <c r="AL612" t="s">
        <v>597</v>
      </c>
      <c r="AM612">
        <v>530.78719999999998</v>
      </c>
      <c r="AO612" t="s">
        <v>20</v>
      </c>
      <c r="BD612">
        <v>14.39</v>
      </c>
      <c r="BE612">
        <v>2.9</v>
      </c>
    </row>
    <row r="613" spans="1:57">
      <c r="A613" t="s">
        <v>730</v>
      </c>
      <c r="B613" t="s">
        <v>255</v>
      </c>
      <c r="C613">
        <v>2017</v>
      </c>
      <c r="E613">
        <v>2017</v>
      </c>
      <c r="F613" t="s">
        <v>27</v>
      </c>
      <c r="G613" t="s">
        <v>224</v>
      </c>
      <c r="H613">
        <v>5000</v>
      </c>
      <c r="I613">
        <v>77</v>
      </c>
      <c r="J613" t="s">
        <v>256</v>
      </c>
      <c r="L613" t="s">
        <v>31</v>
      </c>
      <c r="M613">
        <v>90</v>
      </c>
      <c r="Q613">
        <v>308101659</v>
      </c>
      <c r="S613">
        <v>0.8</v>
      </c>
      <c r="U613">
        <v>25</v>
      </c>
      <c r="AB613" t="s">
        <v>257</v>
      </c>
      <c r="AD613" t="s">
        <v>22</v>
      </c>
      <c r="AE613">
        <v>63</v>
      </c>
      <c r="AF613">
        <v>0.23046017899999999</v>
      </c>
      <c r="AG613">
        <v>385000</v>
      </c>
      <c r="AK613" t="s">
        <v>709</v>
      </c>
      <c r="AL613" t="s">
        <v>597</v>
      </c>
      <c r="AM613">
        <v>530.78719999999998</v>
      </c>
      <c r="AO613" t="s">
        <v>35</v>
      </c>
      <c r="AW613">
        <v>777250000</v>
      </c>
      <c r="AY613">
        <v>19431250000</v>
      </c>
      <c r="AZ613">
        <v>50470779.220779203</v>
      </c>
      <c r="BD613">
        <v>15.86</v>
      </c>
    </row>
    <row r="614" spans="1:57">
      <c r="A614" t="s">
        <v>730</v>
      </c>
      <c r="B614" t="s">
        <v>255</v>
      </c>
      <c r="C614">
        <v>2017</v>
      </c>
      <c r="E614">
        <v>2017</v>
      </c>
      <c r="F614" t="s">
        <v>27</v>
      </c>
      <c r="G614" t="s">
        <v>224</v>
      </c>
      <c r="H614">
        <v>5000</v>
      </c>
      <c r="I614">
        <v>77</v>
      </c>
      <c r="J614" t="s">
        <v>256</v>
      </c>
      <c r="L614" t="s">
        <v>31</v>
      </c>
      <c r="M614">
        <v>90</v>
      </c>
      <c r="Q614">
        <v>400283750</v>
      </c>
      <c r="S614">
        <v>1.04</v>
      </c>
      <c r="U614">
        <v>25</v>
      </c>
      <c r="AB614" t="s">
        <v>258</v>
      </c>
      <c r="AD614" t="s">
        <v>22</v>
      </c>
      <c r="AE614">
        <v>63</v>
      </c>
      <c r="AF614">
        <v>0.23046017899999999</v>
      </c>
      <c r="AG614">
        <v>385000</v>
      </c>
      <c r="AK614" t="s">
        <v>709</v>
      </c>
      <c r="AL614" t="s">
        <v>597</v>
      </c>
      <c r="AM614">
        <v>530.78719999999998</v>
      </c>
      <c r="AO614" t="s">
        <v>35</v>
      </c>
      <c r="AW614">
        <v>777250000</v>
      </c>
      <c r="AY614">
        <v>19431250000</v>
      </c>
      <c r="AZ614">
        <v>50470779.220779203</v>
      </c>
      <c r="BD614">
        <v>20.6</v>
      </c>
    </row>
    <row r="615" spans="1:57">
      <c r="A615" t="s">
        <v>716</v>
      </c>
      <c r="B615" t="s">
        <v>303</v>
      </c>
      <c r="C615">
        <v>2017</v>
      </c>
      <c r="E615">
        <v>2017</v>
      </c>
      <c r="F615" t="s">
        <v>27</v>
      </c>
      <c r="G615" t="s">
        <v>281</v>
      </c>
      <c r="H615">
        <v>900</v>
      </c>
      <c r="I615">
        <v>5</v>
      </c>
      <c r="J615" t="s">
        <v>305</v>
      </c>
      <c r="L615" t="s">
        <v>24</v>
      </c>
      <c r="Q615">
        <v>90750</v>
      </c>
      <c r="S615">
        <v>0.02</v>
      </c>
      <c r="AD615" t="s">
        <v>304</v>
      </c>
      <c r="AG615">
        <v>4500</v>
      </c>
      <c r="AK615" t="s">
        <v>709</v>
      </c>
      <c r="AL615" t="s">
        <v>597</v>
      </c>
      <c r="AM615">
        <v>530.78719999999998</v>
      </c>
      <c r="AO615" t="s">
        <v>35</v>
      </c>
    </row>
    <row r="616" spans="1:57">
      <c r="A616" t="s">
        <v>711</v>
      </c>
      <c r="B616" t="s">
        <v>152</v>
      </c>
      <c r="C616">
        <v>2017</v>
      </c>
      <c r="E616">
        <v>2017</v>
      </c>
      <c r="F616" t="s">
        <v>27</v>
      </c>
      <c r="G616" t="s">
        <v>19</v>
      </c>
      <c r="H616">
        <v>1500</v>
      </c>
      <c r="I616">
        <v>33</v>
      </c>
      <c r="J616" t="s">
        <v>153</v>
      </c>
      <c r="L616" t="s">
        <v>24</v>
      </c>
      <c r="Q616">
        <v>29431302</v>
      </c>
      <c r="S616">
        <v>0.59</v>
      </c>
      <c r="U616">
        <v>20</v>
      </c>
      <c r="AB616" t="s">
        <v>326</v>
      </c>
      <c r="AD616" t="s">
        <v>22</v>
      </c>
      <c r="AF616">
        <v>0.27127693200000003</v>
      </c>
      <c r="AG616">
        <v>49500</v>
      </c>
      <c r="AK616" t="s">
        <v>709</v>
      </c>
      <c r="AL616" t="s">
        <v>597</v>
      </c>
      <c r="AM616">
        <v>530.78719999999998</v>
      </c>
      <c r="AO616" t="s">
        <v>20</v>
      </c>
      <c r="AW616">
        <v>117631103.117506</v>
      </c>
      <c r="AY616">
        <v>2352622062.3501201</v>
      </c>
      <c r="AZ616">
        <v>47527718.431315601</v>
      </c>
      <c r="BD616">
        <v>12.51</v>
      </c>
    </row>
    <row r="617" spans="1:57">
      <c r="A617" t="s">
        <v>679</v>
      </c>
      <c r="B617" t="s">
        <v>244</v>
      </c>
      <c r="C617">
        <v>2017</v>
      </c>
      <c r="E617">
        <v>2017</v>
      </c>
      <c r="H617">
        <v>2000</v>
      </c>
      <c r="I617">
        <v>1</v>
      </c>
      <c r="J617" t="s">
        <v>545</v>
      </c>
      <c r="L617" t="s">
        <v>31</v>
      </c>
      <c r="U617">
        <v>20</v>
      </c>
      <c r="AF617">
        <v>0.34</v>
      </c>
      <c r="AG617">
        <v>2000</v>
      </c>
      <c r="AK617" t="s">
        <v>643</v>
      </c>
      <c r="AL617" t="s">
        <v>597</v>
      </c>
      <c r="AM617">
        <v>530.78719999999998</v>
      </c>
      <c r="AW617">
        <v>5956800</v>
      </c>
      <c r="AY617">
        <v>119136000</v>
      </c>
      <c r="AZ617">
        <v>59568000</v>
      </c>
    </row>
    <row r="618" spans="1:57">
      <c r="A618" t="s">
        <v>678</v>
      </c>
      <c r="B618" t="s">
        <v>172</v>
      </c>
      <c r="C618">
        <v>2017</v>
      </c>
      <c r="E618">
        <v>2017</v>
      </c>
      <c r="H618">
        <v>1</v>
      </c>
      <c r="I618">
        <v>1</v>
      </c>
      <c r="J618" t="s">
        <v>548</v>
      </c>
      <c r="L618" t="s">
        <v>24</v>
      </c>
      <c r="Q618">
        <v>3548</v>
      </c>
      <c r="S618">
        <v>3.55</v>
      </c>
      <c r="U618">
        <v>20</v>
      </c>
      <c r="AE618">
        <v>2</v>
      </c>
      <c r="AF618">
        <v>0.09</v>
      </c>
      <c r="AG618">
        <v>1</v>
      </c>
      <c r="AK618" t="s">
        <v>643</v>
      </c>
      <c r="AL618" t="s">
        <v>597</v>
      </c>
      <c r="AM618">
        <v>530.78719999999998</v>
      </c>
      <c r="AW618">
        <v>788.4</v>
      </c>
      <c r="AY618">
        <v>15768</v>
      </c>
      <c r="AZ618">
        <v>15768000</v>
      </c>
      <c r="BD618">
        <v>225</v>
      </c>
    </row>
    <row r="619" spans="1:57">
      <c r="A619" t="s">
        <v>678</v>
      </c>
      <c r="B619" t="s">
        <v>172</v>
      </c>
      <c r="C619">
        <v>2017</v>
      </c>
      <c r="E619">
        <v>2017</v>
      </c>
      <c r="H619">
        <v>3</v>
      </c>
      <c r="I619">
        <v>1</v>
      </c>
      <c r="J619" t="s">
        <v>548</v>
      </c>
      <c r="L619" t="s">
        <v>24</v>
      </c>
      <c r="Q619">
        <v>8373</v>
      </c>
      <c r="S619">
        <v>2.79</v>
      </c>
      <c r="U619">
        <v>20</v>
      </c>
      <c r="AE619">
        <v>3.2</v>
      </c>
      <c r="AF619">
        <v>0.09</v>
      </c>
      <c r="AG619">
        <v>3</v>
      </c>
      <c r="AK619" t="s">
        <v>643</v>
      </c>
      <c r="AL619" t="s">
        <v>597</v>
      </c>
      <c r="AM619">
        <v>530.78719999999998</v>
      </c>
      <c r="AW619">
        <v>2365.1999999999998</v>
      </c>
      <c r="AY619">
        <v>47304</v>
      </c>
      <c r="AZ619">
        <v>15768000</v>
      </c>
      <c r="BD619">
        <v>177</v>
      </c>
    </row>
    <row r="620" spans="1:57">
      <c r="A620" t="s">
        <v>677</v>
      </c>
      <c r="B620" t="s">
        <v>118</v>
      </c>
      <c r="C620">
        <v>2017</v>
      </c>
      <c r="E620">
        <v>2017</v>
      </c>
      <c r="H620">
        <v>1890</v>
      </c>
      <c r="I620">
        <v>1</v>
      </c>
      <c r="J620" t="s">
        <v>545</v>
      </c>
      <c r="L620" t="s">
        <v>24</v>
      </c>
      <c r="Q620">
        <v>1396532</v>
      </c>
      <c r="S620">
        <v>0.74</v>
      </c>
      <c r="U620">
        <v>20</v>
      </c>
      <c r="AF620">
        <v>0.35</v>
      </c>
      <c r="AG620">
        <v>1890</v>
      </c>
      <c r="AK620" t="s">
        <v>643</v>
      </c>
      <c r="AL620" t="s">
        <v>597</v>
      </c>
      <c r="AM620">
        <v>530.78719999999998</v>
      </c>
      <c r="AW620">
        <v>5794740</v>
      </c>
      <c r="AY620">
        <v>115894800</v>
      </c>
      <c r="AZ620">
        <v>61320000</v>
      </c>
      <c r="BD620">
        <v>12.05</v>
      </c>
    </row>
    <row r="621" spans="1:57">
      <c r="A621" t="s">
        <v>676</v>
      </c>
      <c r="B621" t="s">
        <v>26</v>
      </c>
      <c r="C621">
        <v>2017</v>
      </c>
      <c r="E621">
        <v>2017</v>
      </c>
      <c r="H621">
        <v>0.6</v>
      </c>
      <c r="I621">
        <v>1</v>
      </c>
      <c r="J621" t="s">
        <v>545</v>
      </c>
      <c r="L621" t="s">
        <v>24</v>
      </c>
      <c r="N621">
        <v>0.25</v>
      </c>
      <c r="U621">
        <v>20</v>
      </c>
      <c r="X621">
        <v>51.43</v>
      </c>
      <c r="Z621">
        <v>7.0000000000000007E-2</v>
      </c>
      <c r="AF621">
        <v>0.02</v>
      </c>
      <c r="AG621">
        <v>0.6</v>
      </c>
      <c r="AH621">
        <v>147</v>
      </c>
      <c r="AK621" t="s">
        <v>643</v>
      </c>
      <c r="AL621" t="s">
        <v>597</v>
      </c>
      <c r="AM621">
        <v>530.78719999999998</v>
      </c>
      <c r="AQ621">
        <v>40.9</v>
      </c>
      <c r="AW621">
        <v>105.12</v>
      </c>
      <c r="AY621">
        <v>2102.4</v>
      </c>
      <c r="AZ621">
        <v>3504000</v>
      </c>
      <c r="BB621">
        <v>0.02</v>
      </c>
    </row>
    <row r="622" spans="1:57">
      <c r="A622" t="s">
        <v>675</v>
      </c>
      <c r="B622" t="s">
        <v>532</v>
      </c>
      <c r="C622">
        <v>2017</v>
      </c>
      <c r="E622">
        <v>2017</v>
      </c>
      <c r="H622">
        <v>3450</v>
      </c>
      <c r="I622">
        <v>1</v>
      </c>
      <c r="J622" t="s">
        <v>545</v>
      </c>
      <c r="L622" t="s">
        <v>24</v>
      </c>
      <c r="N622">
        <v>9.11</v>
      </c>
      <c r="Q622">
        <v>1665837</v>
      </c>
      <c r="S622">
        <v>0.48</v>
      </c>
      <c r="U622">
        <v>20</v>
      </c>
      <c r="X622">
        <v>36</v>
      </c>
      <c r="Z622">
        <v>0.1</v>
      </c>
      <c r="AE622">
        <v>112</v>
      </c>
      <c r="AF622">
        <v>0.52</v>
      </c>
      <c r="AG622">
        <v>3450</v>
      </c>
      <c r="AH622">
        <v>31430880</v>
      </c>
      <c r="AK622" t="s">
        <v>643</v>
      </c>
      <c r="AL622" t="s">
        <v>597</v>
      </c>
      <c r="AM622">
        <v>530.78719999999998</v>
      </c>
      <c r="AQ622">
        <v>8730800</v>
      </c>
      <c r="AW622">
        <v>15715440</v>
      </c>
      <c r="AY622">
        <v>314308800</v>
      </c>
      <c r="AZ622">
        <v>91104000</v>
      </c>
      <c r="BB622">
        <v>0.03</v>
      </c>
      <c r="BD622">
        <v>5.3</v>
      </c>
    </row>
    <row r="623" spans="1:57">
      <c r="A623" t="s">
        <v>675</v>
      </c>
      <c r="B623" t="s">
        <v>532</v>
      </c>
      <c r="C623">
        <v>2017</v>
      </c>
      <c r="E623">
        <v>2017</v>
      </c>
      <c r="H623">
        <v>2000</v>
      </c>
      <c r="I623">
        <v>1</v>
      </c>
      <c r="J623" t="s">
        <v>545</v>
      </c>
      <c r="L623" t="s">
        <v>24</v>
      </c>
      <c r="N623">
        <v>6.13</v>
      </c>
      <c r="Q623">
        <v>1173840</v>
      </c>
      <c r="S623">
        <v>0.59</v>
      </c>
      <c r="U623">
        <v>20</v>
      </c>
      <c r="X623">
        <v>51.43</v>
      </c>
      <c r="Z623">
        <v>7.0000000000000007E-2</v>
      </c>
      <c r="AE623">
        <v>120</v>
      </c>
      <c r="AF623">
        <v>0.5</v>
      </c>
      <c r="AG623">
        <v>2000</v>
      </c>
      <c r="AH623">
        <v>12264000</v>
      </c>
      <c r="AK623" t="s">
        <v>643</v>
      </c>
      <c r="AL623" t="s">
        <v>597</v>
      </c>
      <c r="AM623">
        <v>530.78719999999998</v>
      </c>
      <c r="AQ623">
        <v>3406666.7</v>
      </c>
      <c r="AW623">
        <v>8760000</v>
      </c>
      <c r="AY623">
        <v>175200000</v>
      </c>
      <c r="AZ623">
        <v>87600000</v>
      </c>
      <c r="BB623">
        <v>0.02</v>
      </c>
      <c r="BD623">
        <v>6.7</v>
      </c>
    </row>
    <row r="624" spans="1:57">
      <c r="A624" t="s">
        <v>675</v>
      </c>
      <c r="B624" t="s">
        <v>532</v>
      </c>
      <c r="C624">
        <v>2017</v>
      </c>
      <c r="E624">
        <v>2017</v>
      </c>
      <c r="H624">
        <v>3450</v>
      </c>
      <c r="I624">
        <v>1</v>
      </c>
      <c r="J624" t="s">
        <v>545</v>
      </c>
      <c r="L624" t="s">
        <v>24</v>
      </c>
      <c r="N624">
        <v>6.13</v>
      </c>
      <c r="Q624">
        <v>1450656</v>
      </c>
      <c r="S624">
        <v>0.42</v>
      </c>
      <c r="U624">
        <v>20</v>
      </c>
      <c r="X624">
        <v>51.43</v>
      </c>
      <c r="Z624">
        <v>7.0000000000000007E-2</v>
      </c>
      <c r="AE624">
        <v>105</v>
      </c>
      <c r="AF624">
        <v>0.5</v>
      </c>
      <c r="AG624">
        <v>3450</v>
      </c>
      <c r="AH624">
        <v>21155400</v>
      </c>
      <c r="AK624" t="s">
        <v>643</v>
      </c>
      <c r="AL624" t="s">
        <v>597</v>
      </c>
      <c r="AM624">
        <v>530.78719999999998</v>
      </c>
      <c r="AQ624">
        <v>5876500</v>
      </c>
      <c r="AW624">
        <v>15111000</v>
      </c>
      <c r="AY624">
        <v>302220000</v>
      </c>
      <c r="AZ624">
        <v>87600000</v>
      </c>
      <c r="BB624">
        <v>0.02</v>
      </c>
      <c r="BD624">
        <v>4.8</v>
      </c>
    </row>
    <row r="625" spans="1:56">
      <c r="A625" t="s">
        <v>675</v>
      </c>
      <c r="B625" t="s">
        <v>532</v>
      </c>
      <c r="C625">
        <v>2017</v>
      </c>
      <c r="E625">
        <v>2017</v>
      </c>
      <c r="H625">
        <v>3450</v>
      </c>
      <c r="I625">
        <v>1</v>
      </c>
      <c r="J625" t="s">
        <v>545</v>
      </c>
      <c r="L625" t="s">
        <v>24</v>
      </c>
      <c r="N625">
        <v>8.51</v>
      </c>
      <c r="Q625">
        <v>1664628</v>
      </c>
      <c r="S625">
        <v>0.48</v>
      </c>
      <c r="U625">
        <v>20</v>
      </c>
      <c r="X625">
        <v>40</v>
      </c>
      <c r="Z625">
        <v>0.09</v>
      </c>
      <c r="AE625">
        <v>117</v>
      </c>
      <c r="AF625">
        <v>0.54</v>
      </c>
      <c r="AG625">
        <v>3450</v>
      </c>
      <c r="AH625">
        <v>29375784</v>
      </c>
      <c r="AK625" t="s">
        <v>643</v>
      </c>
      <c r="AL625" t="s">
        <v>597</v>
      </c>
      <c r="AM625">
        <v>530.78719999999998</v>
      </c>
      <c r="AQ625">
        <v>8159940</v>
      </c>
      <c r="AW625">
        <v>16319880</v>
      </c>
      <c r="AY625">
        <v>326397600</v>
      </c>
      <c r="AZ625">
        <v>94608000</v>
      </c>
      <c r="BB625">
        <v>0.03</v>
      </c>
      <c r="BD625">
        <v>5.0999999999999996</v>
      </c>
    </row>
    <row r="626" spans="1:56">
      <c r="A626" t="s">
        <v>675</v>
      </c>
      <c r="B626" t="s">
        <v>532</v>
      </c>
      <c r="C626">
        <v>2017</v>
      </c>
      <c r="E626">
        <v>2017</v>
      </c>
      <c r="H626">
        <v>3450</v>
      </c>
      <c r="I626">
        <v>1</v>
      </c>
      <c r="J626" t="s">
        <v>545</v>
      </c>
      <c r="L626" t="s">
        <v>24</v>
      </c>
      <c r="N626">
        <v>8.41</v>
      </c>
      <c r="Q626">
        <v>1856840</v>
      </c>
      <c r="S626">
        <v>0.54</v>
      </c>
      <c r="U626">
        <v>20</v>
      </c>
      <c r="X626">
        <v>36</v>
      </c>
      <c r="Z626">
        <v>0.1</v>
      </c>
      <c r="AE626">
        <v>126</v>
      </c>
      <c r="AF626">
        <v>0.48</v>
      </c>
      <c r="AG626">
        <v>3450</v>
      </c>
      <c r="AH626">
        <v>29013120</v>
      </c>
      <c r="AK626" t="s">
        <v>643</v>
      </c>
      <c r="AL626" t="s">
        <v>597</v>
      </c>
      <c r="AM626">
        <v>530.78719999999998</v>
      </c>
      <c r="AQ626">
        <v>8059200</v>
      </c>
      <c r="AW626">
        <v>14506560</v>
      </c>
      <c r="AY626">
        <v>290131200</v>
      </c>
      <c r="AZ626">
        <v>84096000</v>
      </c>
      <c r="BB626">
        <v>0.03</v>
      </c>
      <c r="BD626">
        <v>6.4</v>
      </c>
    </row>
    <row r="627" spans="1:56">
      <c r="A627" t="s">
        <v>675</v>
      </c>
      <c r="B627" t="s">
        <v>532</v>
      </c>
      <c r="C627">
        <v>2017</v>
      </c>
      <c r="E627">
        <v>2017</v>
      </c>
      <c r="H627">
        <v>3450</v>
      </c>
      <c r="I627">
        <v>1</v>
      </c>
      <c r="J627" t="s">
        <v>545</v>
      </c>
      <c r="L627" t="s">
        <v>24</v>
      </c>
      <c r="Q627">
        <v>2021247</v>
      </c>
      <c r="S627">
        <v>0.59</v>
      </c>
      <c r="U627">
        <v>20</v>
      </c>
      <c r="AE627">
        <v>136</v>
      </c>
      <c r="AF627">
        <v>0.44</v>
      </c>
      <c r="AG627">
        <v>3450</v>
      </c>
      <c r="AK627" t="s">
        <v>643</v>
      </c>
      <c r="AL627" t="s">
        <v>597</v>
      </c>
      <c r="AM627">
        <v>530.78719999999998</v>
      </c>
      <c r="AW627">
        <v>13297680</v>
      </c>
      <c r="AY627">
        <v>265953600</v>
      </c>
      <c r="AZ627">
        <v>77088000</v>
      </c>
      <c r="BD627">
        <v>7.6</v>
      </c>
    </row>
    <row r="628" spans="1:56">
      <c r="A628" t="s">
        <v>674</v>
      </c>
      <c r="B628" t="s">
        <v>530</v>
      </c>
      <c r="C628">
        <v>2017</v>
      </c>
      <c r="E628">
        <v>2017</v>
      </c>
      <c r="H628">
        <v>2000</v>
      </c>
      <c r="I628">
        <v>1</v>
      </c>
      <c r="J628" t="s">
        <v>545</v>
      </c>
      <c r="L628" t="s">
        <v>24</v>
      </c>
      <c r="Q628">
        <v>854801</v>
      </c>
      <c r="S628">
        <v>0.43</v>
      </c>
      <c r="U628">
        <v>20</v>
      </c>
      <c r="AE628">
        <v>114</v>
      </c>
      <c r="AF628">
        <v>0.35</v>
      </c>
      <c r="AG628">
        <v>2000</v>
      </c>
      <c r="AK628" t="s">
        <v>643</v>
      </c>
      <c r="AL628" t="s">
        <v>597</v>
      </c>
      <c r="AM628">
        <v>530.78719999999998</v>
      </c>
      <c r="AW628">
        <v>6132000</v>
      </c>
      <c r="AY628">
        <v>122640000</v>
      </c>
      <c r="AZ628">
        <v>61320000</v>
      </c>
      <c r="BD628">
        <v>6.97</v>
      </c>
    </row>
    <row r="629" spans="1:56">
      <c r="A629" t="s">
        <v>674</v>
      </c>
      <c r="B629" t="s">
        <v>530</v>
      </c>
      <c r="C629">
        <v>2017</v>
      </c>
      <c r="E629">
        <v>2017</v>
      </c>
      <c r="H629">
        <v>2000</v>
      </c>
      <c r="I629">
        <v>1</v>
      </c>
      <c r="J629" t="s">
        <v>545</v>
      </c>
      <c r="L629" t="s">
        <v>24</v>
      </c>
      <c r="Q629">
        <v>944328</v>
      </c>
      <c r="S629">
        <v>0.47</v>
      </c>
      <c r="U629">
        <v>20</v>
      </c>
      <c r="AE629">
        <v>114</v>
      </c>
      <c r="AF629">
        <v>0.35</v>
      </c>
      <c r="AG629">
        <v>2000</v>
      </c>
      <c r="AK629" t="s">
        <v>643</v>
      </c>
      <c r="AL629" t="s">
        <v>597</v>
      </c>
      <c r="AM629">
        <v>530.78719999999998</v>
      </c>
      <c r="AW629">
        <v>6132000</v>
      </c>
      <c r="AY629">
        <v>122640000</v>
      </c>
      <c r="AZ629">
        <v>61320000</v>
      </c>
      <c r="BD629">
        <v>7.7</v>
      </c>
    </row>
    <row r="630" spans="1:56">
      <c r="A630" t="s">
        <v>674</v>
      </c>
      <c r="B630" t="s">
        <v>530</v>
      </c>
      <c r="C630">
        <v>2017</v>
      </c>
      <c r="E630">
        <v>2017</v>
      </c>
      <c r="H630">
        <v>2500</v>
      </c>
      <c r="I630">
        <v>1</v>
      </c>
      <c r="J630" t="s">
        <v>545</v>
      </c>
      <c r="L630" t="s">
        <v>24</v>
      </c>
      <c r="Q630">
        <v>1987118</v>
      </c>
      <c r="S630">
        <v>0.79</v>
      </c>
      <c r="U630">
        <v>20</v>
      </c>
      <c r="AE630">
        <v>114</v>
      </c>
      <c r="AF630">
        <v>0.53</v>
      </c>
      <c r="AG630">
        <v>2500</v>
      </c>
      <c r="AK630" t="s">
        <v>643</v>
      </c>
      <c r="AL630" t="s">
        <v>597</v>
      </c>
      <c r="AM630">
        <v>530.78719999999998</v>
      </c>
      <c r="AW630">
        <v>11607000</v>
      </c>
      <c r="AY630">
        <v>232140000</v>
      </c>
      <c r="AZ630">
        <v>92856000</v>
      </c>
      <c r="BD630">
        <v>8.56</v>
      </c>
    </row>
    <row r="631" spans="1:56">
      <c r="A631" t="s">
        <v>674</v>
      </c>
      <c r="B631" t="s">
        <v>530</v>
      </c>
      <c r="C631">
        <v>2017</v>
      </c>
      <c r="E631">
        <v>2017</v>
      </c>
      <c r="H631">
        <v>3465</v>
      </c>
      <c r="I631">
        <v>1</v>
      </c>
      <c r="J631" t="s">
        <v>545</v>
      </c>
      <c r="L631" t="s">
        <v>24</v>
      </c>
      <c r="Q631">
        <v>2667457</v>
      </c>
      <c r="S631">
        <v>0.77</v>
      </c>
      <c r="U631">
        <v>20</v>
      </c>
      <c r="AE631">
        <v>132</v>
      </c>
      <c r="AF631">
        <v>0.52</v>
      </c>
      <c r="AG631">
        <v>3465</v>
      </c>
      <c r="AK631" t="s">
        <v>643</v>
      </c>
      <c r="AL631" t="s">
        <v>597</v>
      </c>
      <c r="AM631">
        <v>530.78719999999998</v>
      </c>
      <c r="AW631">
        <v>15783768</v>
      </c>
      <c r="AY631">
        <v>315675360</v>
      </c>
      <c r="AZ631">
        <v>91104000</v>
      </c>
      <c r="BD631">
        <v>8.4499999999999993</v>
      </c>
    </row>
    <row r="632" spans="1:56">
      <c r="A632" t="s">
        <v>674</v>
      </c>
      <c r="B632" t="s">
        <v>530</v>
      </c>
      <c r="C632">
        <v>2017</v>
      </c>
      <c r="E632">
        <v>2017</v>
      </c>
      <c r="H632">
        <v>2625</v>
      </c>
      <c r="I632">
        <v>1</v>
      </c>
      <c r="J632" t="s">
        <v>545</v>
      </c>
      <c r="L632" t="s">
        <v>24</v>
      </c>
      <c r="Q632">
        <v>1949240</v>
      </c>
      <c r="S632">
        <v>0.74</v>
      </c>
      <c r="U632">
        <v>20</v>
      </c>
      <c r="AE632">
        <v>126</v>
      </c>
      <c r="AF632">
        <v>0.48</v>
      </c>
      <c r="AG632">
        <v>2625</v>
      </c>
      <c r="AK632" t="s">
        <v>643</v>
      </c>
      <c r="AL632" t="s">
        <v>597</v>
      </c>
      <c r="AM632">
        <v>530.78719999999998</v>
      </c>
      <c r="AW632">
        <v>11037600</v>
      </c>
      <c r="AY632">
        <v>220752000</v>
      </c>
      <c r="AZ632">
        <v>84096000</v>
      </c>
      <c r="BD632">
        <v>8.83</v>
      </c>
    </row>
    <row r="633" spans="1:56">
      <c r="A633" t="s">
        <v>686</v>
      </c>
      <c r="B633" t="s">
        <v>85</v>
      </c>
      <c r="C633">
        <v>2018</v>
      </c>
      <c r="E633">
        <v>2018</v>
      </c>
      <c r="F633" t="s">
        <v>27</v>
      </c>
      <c r="H633">
        <v>1</v>
      </c>
      <c r="I633">
        <v>1</v>
      </c>
      <c r="J633" t="s">
        <v>87</v>
      </c>
      <c r="L633" t="s">
        <v>24</v>
      </c>
      <c r="N633">
        <v>33.840000000000003</v>
      </c>
      <c r="P633">
        <v>9.4</v>
      </c>
      <c r="U633">
        <v>20</v>
      </c>
      <c r="Z633">
        <v>1.57</v>
      </c>
      <c r="AD633" t="s">
        <v>86</v>
      </c>
      <c r="AF633">
        <v>0.123173516</v>
      </c>
      <c r="AG633">
        <v>1</v>
      </c>
      <c r="AH633">
        <v>33844</v>
      </c>
      <c r="AK633" t="s">
        <v>709</v>
      </c>
      <c r="AL633" t="s">
        <v>597</v>
      </c>
      <c r="AM633">
        <v>580.40440000000001</v>
      </c>
      <c r="AO633" t="s">
        <v>35</v>
      </c>
      <c r="AQ633">
        <v>9401</v>
      </c>
      <c r="AS633">
        <v>2820.3</v>
      </c>
      <c r="AU633">
        <v>0.13</v>
      </c>
      <c r="AW633">
        <v>1079</v>
      </c>
      <c r="AY633">
        <v>21580</v>
      </c>
      <c r="AZ633">
        <v>21580000</v>
      </c>
      <c r="BB633">
        <v>0.44</v>
      </c>
    </row>
    <row r="634" spans="1:56">
      <c r="A634" t="s">
        <v>686</v>
      </c>
      <c r="B634" t="s">
        <v>85</v>
      </c>
      <c r="C634">
        <v>2018</v>
      </c>
      <c r="E634">
        <v>2018</v>
      </c>
      <c r="F634" t="s">
        <v>27</v>
      </c>
      <c r="H634">
        <v>3</v>
      </c>
      <c r="I634">
        <v>1</v>
      </c>
      <c r="J634" t="s">
        <v>88</v>
      </c>
      <c r="L634" t="s">
        <v>24</v>
      </c>
      <c r="N634">
        <v>18.29</v>
      </c>
      <c r="P634">
        <v>5.08</v>
      </c>
      <c r="U634">
        <v>20</v>
      </c>
      <c r="Z634">
        <v>0.84</v>
      </c>
      <c r="AD634" t="s">
        <v>86</v>
      </c>
      <c r="AF634">
        <v>0.123934551</v>
      </c>
      <c r="AG634">
        <v>3</v>
      </c>
      <c r="AH634">
        <v>54879</v>
      </c>
      <c r="AK634" t="s">
        <v>709</v>
      </c>
      <c r="AL634" t="s">
        <v>597</v>
      </c>
      <c r="AM634">
        <v>580.40440000000001</v>
      </c>
      <c r="AO634" t="s">
        <v>35</v>
      </c>
      <c r="AQ634">
        <v>15244</v>
      </c>
      <c r="AS634">
        <v>4573.3</v>
      </c>
      <c r="AU634">
        <v>7.0000000000000007E-2</v>
      </c>
      <c r="AW634">
        <v>3257</v>
      </c>
      <c r="AY634">
        <v>65140</v>
      </c>
      <c r="AZ634">
        <v>21713333.333333299</v>
      </c>
      <c r="BB634">
        <v>0.23</v>
      </c>
    </row>
    <row r="635" spans="1:56">
      <c r="A635" t="s">
        <v>686</v>
      </c>
      <c r="B635" t="s">
        <v>85</v>
      </c>
      <c r="C635">
        <v>2018</v>
      </c>
      <c r="E635">
        <v>2018</v>
      </c>
      <c r="F635" t="s">
        <v>27</v>
      </c>
      <c r="H635">
        <v>5</v>
      </c>
      <c r="I635">
        <v>1</v>
      </c>
      <c r="J635" t="s">
        <v>89</v>
      </c>
      <c r="L635" t="s">
        <v>24</v>
      </c>
      <c r="N635">
        <v>15</v>
      </c>
      <c r="P635">
        <v>4.17</v>
      </c>
      <c r="U635">
        <v>20</v>
      </c>
      <c r="Z635">
        <v>1</v>
      </c>
      <c r="AD635" t="s">
        <v>86</v>
      </c>
      <c r="AF635">
        <v>8.5639269000000004E-2</v>
      </c>
      <c r="AG635">
        <v>5</v>
      </c>
      <c r="AH635">
        <v>74999</v>
      </c>
      <c r="AK635" t="s">
        <v>709</v>
      </c>
      <c r="AL635" t="s">
        <v>597</v>
      </c>
      <c r="AM635">
        <v>580.40440000000001</v>
      </c>
      <c r="AO635" t="s">
        <v>35</v>
      </c>
      <c r="AQ635">
        <v>20833</v>
      </c>
      <c r="AS635">
        <v>6249.9</v>
      </c>
      <c r="AU635">
        <v>0.08</v>
      </c>
      <c r="AW635">
        <v>3751</v>
      </c>
      <c r="AY635">
        <v>75020</v>
      </c>
      <c r="AZ635">
        <v>15004000</v>
      </c>
      <c r="BB635">
        <v>0.28000000000000003</v>
      </c>
    </row>
    <row r="636" spans="1:56">
      <c r="A636" t="s">
        <v>686</v>
      </c>
      <c r="B636" t="s">
        <v>85</v>
      </c>
      <c r="C636">
        <v>2018</v>
      </c>
      <c r="E636">
        <v>2018</v>
      </c>
      <c r="F636" t="s">
        <v>27</v>
      </c>
      <c r="H636">
        <v>6</v>
      </c>
      <c r="I636">
        <v>1</v>
      </c>
      <c r="J636" t="s">
        <v>90</v>
      </c>
      <c r="L636" t="s">
        <v>24</v>
      </c>
      <c r="N636">
        <v>17.579999999999998</v>
      </c>
      <c r="P636">
        <v>4.88</v>
      </c>
      <c r="U636">
        <v>20</v>
      </c>
      <c r="Z636">
        <v>0.95</v>
      </c>
      <c r="AD636" t="s">
        <v>86</v>
      </c>
      <c r="AF636">
        <v>0.106050228</v>
      </c>
      <c r="AG636">
        <v>6</v>
      </c>
      <c r="AH636">
        <v>105502</v>
      </c>
      <c r="AK636" t="s">
        <v>709</v>
      </c>
      <c r="AL636" t="s">
        <v>597</v>
      </c>
      <c r="AM636">
        <v>580.40440000000001</v>
      </c>
      <c r="AO636" t="s">
        <v>35</v>
      </c>
      <c r="AQ636">
        <v>29306</v>
      </c>
      <c r="AS636">
        <v>8791.7999999999993</v>
      </c>
      <c r="AU636">
        <v>0.08</v>
      </c>
      <c r="AW636">
        <v>5574</v>
      </c>
      <c r="AY636">
        <v>111480</v>
      </c>
      <c r="AZ636">
        <v>18580000</v>
      </c>
      <c r="BB636">
        <v>0.26</v>
      </c>
    </row>
    <row r="637" spans="1:56">
      <c r="A637" t="s">
        <v>686</v>
      </c>
      <c r="B637" t="s">
        <v>85</v>
      </c>
      <c r="C637">
        <v>2018</v>
      </c>
      <c r="E637">
        <v>2018</v>
      </c>
      <c r="F637" t="s">
        <v>27</v>
      </c>
      <c r="H637">
        <v>20</v>
      </c>
      <c r="I637">
        <v>1</v>
      </c>
      <c r="J637" t="s">
        <v>91</v>
      </c>
      <c r="L637" t="s">
        <v>24</v>
      </c>
      <c r="N637">
        <v>10.91</v>
      </c>
      <c r="P637">
        <v>3.03</v>
      </c>
      <c r="U637">
        <v>20</v>
      </c>
      <c r="Z637">
        <v>0.66</v>
      </c>
      <c r="AD637" t="s">
        <v>86</v>
      </c>
      <c r="AF637">
        <v>9.4400684999999998E-2</v>
      </c>
      <c r="AG637">
        <v>20</v>
      </c>
      <c r="AH637">
        <v>218145</v>
      </c>
      <c r="AK637" t="s">
        <v>709</v>
      </c>
      <c r="AL637" t="s">
        <v>597</v>
      </c>
      <c r="AM637">
        <v>580.40440000000001</v>
      </c>
      <c r="AO637" t="s">
        <v>35</v>
      </c>
      <c r="AQ637">
        <v>60596</v>
      </c>
      <c r="AS637">
        <v>18178.8</v>
      </c>
      <c r="AU637">
        <v>0.05</v>
      </c>
      <c r="AW637">
        <v>16539</v>
      </c>
      <c r="AY637">
        <v>330780</v>
      </c>
      <c r="AZ637">
        <v>16539000</v>
      </c>
      <c r="BB637">
        <v>0.18</v>
      </c>
    </row>
    <row r="638" spans="1:56">
      <c r="A638" t="s">
        <v>686</v>
      </c>
      <c r="B638" t="s">
        <v>85</v>
      </c>
      <c r="C638">
        <v>2018</v>
      </c>
      <c r="E638">
        <v>2018</v>
      </c>
      <c r="F638" t="s">
        <v>27</v>
      </c>
      <c r="H638">
        <v>30</v>
      </c>
      <c r="I638">
        <v>1</v>
      </c>
      <c r="J638" t="s">
        <v>92</v>
      </c>
      <c r="L638" t="s">
        <v>24</v>
      </c>
      <c r="N638">
        <v>9.0500000000000007</v>
      </c>
      <c r="P638">
        <v>2.5099999999999998</v>
      </c>
      <c r="U638">
        <v>20</v>
      </c>
      <c r="Z638">
        <v>0.57999999999999996</v>
      </c>
      <c r="AD638" t="s">
        <v>86</v>
      </c>
      <c r="AF638">
        <v>8.8451294E-2</v>
      </c>
      <c r="AG638">
        <v>30</v>
      </c>
      <c r="AH638">
        <v>271479</v>
      </c>
      <c r="AK638" t="s">
        <v>709</v>
      </c>
      <c r="AL638" t="s">
        <v>597</v>
      </c>
      <c r="AM638">
        <v>580.40440000000001</v>
      </c>
      <c r="AO638" t="s">
        <v>35</v>
      </c>
      <c r="AQ638">
        <v>75411</v>
      </c>
      <c r="AS638">
        <v>22623.3</v>
      </c>
      <c r="AU638">
        <v>0.05</v>
      </c>
      <c r="AW638">
        <v>23245</v>
      </c>
      <c r="AY638">
        <v>464900</v>
      </c>
      <c r="AZ638">
        <v>15496666.6666667</v>
      </c>
      <c r="BB638">
        <v>0.16</v>
      </c>
    </row>
    <row r="639" spans="1:56">
      <c r="A639" t="s">
        <v>686</v>
      </c>
      <c r="B639" t="s">
        <v>85</v>
      </c>
      <c r="C639">
        <v>2018</v>
      </c>
      <c r="E639">
        <v>2018</v>
      </c>
      <c r="F639" t="s">
        <v>27</v>
      </c>
      <c r="H639">
        <v>100</v>
      </c>
      <c r="I639">
        <v>1</v>
      </c>
      <c r="J639" t="s">
        <v>93</v>
      </c>
      <c r="L639" t="s">
        <v>24</v>
      </c>
      <c r="N639">
        <v>8.57</v>
      </c>
      <c r="P639">
        <v>2.38</v>
      </c>
      <c r="U639">
        <v>20</v>
      </c>
      <c r="Z639">
        <v>0.41</v>
      </c>
      <c r="AD639" t="s">
        <v>86</v>
      </c>
      <c r="AF639">
        <v>0.120270548</v>
      </c>
      <c r="AG639">
        <v>100</v>
      </c>
      <c r="AH639">
        <v>857447</v>
      </c>
      <c r="AK639" t="s">
        <v>709</v>
      </c>
      <c r="AL639" t="s">
        <v>597</v>
      </c>
      <c r="AM639">
        <v>580.40440000000001</v>
      </c>
      <c r="AO639" t="s">
        <v>35</v>
      </c>
      <c r="AQ639">
        <v>238180</v>
      </c>
      <c r="AS639">
        <v>71453.899999999994</v>
      </c>
      <c r="AU639">
        <v>0.03</v>
      </c>
      <c r="AW639">
        <v>105357</v>
      </c>
      <c r="AY639">
        <v>2107140</v>
      </c>
      <c r="AZ639">
        <v>21071400</v>
      </c>
      <c r="BB639">
        <v>0.11</v>
      </c>
    </row>
    <row r="640" spans="1:56">
      <c r="A640" t="s">
        <v>686</v>
      </c>
      <c r="B640" t="s">
        <v>85</v>
      </c>
      <c r="C640">
        <v>2018</v>
      </c>
      <c r="E640">
        <v>2018</v>
      </c>
      <c r="F640" t="s">
        <v>27</v>
      </c>
      <c r="H640">
        <v>500</v>
      </c>
      <c r="I640">
        <v>1</v>
      </c>
      <c r="J640" t="s">
        <v>94</v>
      </c>
      <c r="L640" t="s">
        <v>24</v>
      </c>
      <c r="N640">
        <v>5.5</v>
      </c>
      <c r="P640">
        <v>1.53</v>
      </c>
      <c r="U640">
        <v>20</v>
      </c>
      <c r="Z640">
        <v>0.25</v>
      </c>
      <c r="AD640" t="s">
        <v>86</v>
      </c>
      <c r="AF640">
        <v>0.124828995</v>
      </c>
      <c r="AG640">
        <v>500</v>
      </c>
      <c r="AH640">
        <v>2749900</v>
      </c>
      <c r="AK640" t="s">
        <v>709</v>
      </c>
      <c r="AL640" t="s">
        <v>597</v>
      </c>
      <c r="AM640">
        <v>580.40440000000001</v>
      </c>
      <c r="AO640" t="s">
        <v>35</v>
      </c>
      <c r="AQ640">
        <v>763861</v>
      </c>
      <c r="AS640">
        <v>229158.3</v>
      </c>
      <c r="AU640">
        <v>0.02</v>
      </c>
      <c r="AW640">
        <v>546751</v>
      </c>
      <c r="AY640">
        <v>10935020</v>
      </c>
      <c r="AZ640">
        <v>21870040</v>
      </c>
      <c r="BB640">
        <v>7.0000000000000007E-2</v>
      </c>
    </row>
    <row r="641" spans="1:56">
      <c r="A641" t="s">
        <v>686</v>
      </c>
      <c r="B641" t="s">
        <v>85</v>
      </c>
      <c r="C641">
        <v>2018</v>
      </c>
      <c r="E641">
        <v>2018</v>
      </c>
      <c r="F641" t="s">
        <v>27</v>
      </c>
      <c r="H641">
        <v>600</v>
      </c>
      <c r="I641">
        <v>1</v>
      </c>
      <c r="J641" t="s">
        <v>95</v>
      </c>
      <c r="L641" t="s">
        <v>24</v>
      </c>
      <c r="N641">
        <v>4.59</v>
      </c>
      <c r="P641">
        <v>1.28</v>
      </c>
      <c r="U641">
        <v>20</v>
      </c>
      <c r="Z641">
        <v>0.31</v>
      </c>
      <c r="AD641" t="s">
        <v>86</v>
      </c>
      <c r="AF641">
        <v>8.5395358000000005E-2</v>
      </c>
      <c r="AG641">
        <v>600</v>
      </c>
      <c r="AH641">
        <v>2756100</v>
      </c>
      <c r="AK641" t="s">
        <v>709</v>
      </c>
      <c r="AL641" t="s">
        <v>597</v>
      </c>
      <c r="AM641">
        <v>580.40440000000001</v>
      </c>
      <c r="AO641" t="s">
        <v>35</v>
      </c>
      <c r="AQ641">
        <v>765583</v>
      </c>
      <c r="AS641">
        <v>229675</v>
      </c>
      <c r="AU641">
        <v>0.03</v>
      </c>
      <c r="AW641">
        <v>448838</v>
      </c>
      <c r="AY641">
        <v>8976760</v>
      </c>
      <c r="AZ641">
        <v>14961266.6666667</v>
      </c>
      <c r="BB641">
        <v>0.09</v>
      </c>
    </row>
    <row r="642" spans="1:56">
      <c r="A642" t="s">
        <v>686</v>
      </c>
      <c r="B642" t="s">
        <v>85</v>
      </c>
      <c r="C642">
        <v>2018</v>
      </c>
      <c r="E642">
        <v>2018</v>
      </c>
      <c r="F642" t="s">
        <v>27</v>
      </c>
      <c r="H642">
        <v>660</v>
      </c>
      <c r="I642">
        <v>1</v>
      </c>
      <c r="J642" t="s">
        <v>75</v>
      </c>
      <c r="L642" t="s">
        <v>24</v>
      </c>
      <c r="N642">
        <v>4.37</v>
      </c>
      <c r="P642">
        <v>1.21</v>
      </c>
      <c r="U642">
        <v>20</v>
      </c>
      <c r="Z642">
        <v>0.3</v>
      </c>
      <c r="AD642" t="s">
        <v>86</v>
      </c>
      <c r="AF642">
        <v>8.3522899999999997E-2</v>
      </c>
      <c r="AG642">
        <v>660</v>
      </c>
      <c r="AH642">
        <v>2881648</v>
      </c>
      <c r="AK642" t="s">
        <v>709</v>
      </c>
      <c r="AL642" t="s">
        <v>597</v>
      </c>
      <c r="AM642">
        <v>580.40440000000001</v>
      </c>
      <c r="AO642" t="s">
        <v>35</v>
      </c>
      <c r="AQ642">
        <v>800458</v>
      </c>
      <c r="AS642">
        <v>240137.3</v>
      </c>
      <c r="AU642">
        <v>0.02</v>
      </c>
      <c r="AW642">
        <v>482896</v>
      </c>
      <c r="AY642">
        <v>9657920</v>
      </c>
      <c r="AZ642">
        <v>14633212.121212101</v>
      </c>
      <c r="BB642">
        <v>0.08</v>
      </c>
    </row>
    <row r="643" spans="1:56">
      <c r="A643" t="s">
        <v>686</v>
      </c>
      <c r="B643" t="s">
        <v>85</v>
      </c>
      <c r="C643">
        <v>2018</v>
      </c>
      <c r="E643">
        <v>2018</v>
      </c>
      <c r="F643" t="s">
        <v>27</v>
      </c>
      <c r="H643">
        <v>750</v>
      </c>
      <c r="I643">
        <v>1</v>
      </c>
      <c r="J643" t="s">
        <v>96</v>
      </c>
      <c r="L643" t="s">
        <v>24</v>
      </c>
      <c r="N643">
        <v>4.07</v>
      </c>
      <c r="P643">
        <v>1.1299999999999999</v>
      </c>
      <c r="U643">
        <v>20</v>
      </c>
      <c r="Z643">
        <v>0.28999999999999998</v>
      </c>
      <c r="AD643" t="s">
        <v>86</v>
      </c>
      <c r="AF643">
        <v>8.0918568999999996E-2</v>
      </c>
      <c r="AG643">
        <v>750</v>
      </c>
      <c r="AH643">
        <v>3053131</v>
      </c>
      <c r="AK643" t="s">
        <v>709</v>
      </c>
      <c r="AL643" t="s">
        <v>597</v>
      </c>
      <c r="AM643">
        <v>580.40440000000001</v>
      </c>
      <c r="AO643" t="s">
        <v>35</v>
      </c>
      <c r="AQ643">
        <v>848092</v>
      </c>
      <c r="AS643">
        <v>254427.6</v>
      </c>
      <c r="AU643">
        <v>0.02</v>
      </c>
      <c r="AW643">
        <v>531635</v>
      </c>
      <c r="AY643">
        <v>10632700</v>
      </c>
      <c r="AZ643">
        <v>14176933.3333333</v>
      </c>
      <c r="BB643">
        <v>0.08</v>
      </c>
    </row>
    <row r="644" spans="1:56">
      <c r="A644" t="s">
        <v>686</v>
      </c>
      <c r="B644" t="s">
        <v>85</v>
      </c>
      <c r="C644">
        <v>2018</v>
      </c>
      <c r="E644">
        <v>2018</v>
      </c>
      <c r="F644" t="s">
        <v>27</v>
      </c>
      <c r="H644">
        <v>850</v>
      </c>
      <c r="I644">
        <v>1</v>
      </c>
      <c r="J644" t="s">
        <v>97</v>
      </c>
      <c r="L644" t="s">
        <v>24</v>
      </c>
      <c r="N644">
        <v>3.16</v>
      </c>
      <c r="P644">
        <v>0.88</v>
      </c>
      <c r="U644">
        <v>20</v>
      </c>
      <c r="Z644">
        <v>0.28000000000000003</v>
      </c>
      <c r="AD644" t="s">
        <v>86</v>
      </c>
      <c r="AF644">
        <v>6.5276926999999998E-2</v>
      </c>
      <c r="AG644">
        <v>850</v>
      </c>
      <c r="AH644">
        <v>2688487</v>
      </c>
      <c r="AK644" t="s">
        <v>709</v>
      </c>
      <c r="AL644" t="s">
        <v>597</v>
      </c>
      <c r="AM644">
        <v>580.40440000000001</v>
      </c>
      <c r="AO644" t="s">
        <v>35</v>
      </c>
      <c r="AQ644">
        <v>746802</v>
      </c>
      <c r="AS644">
        <v>224040.6</v>
      </c>
      <c r="AU644">
        <v>0.02</v>
      </c>
      <c r="AW644">
        <v>486052</v>
      </c>
      <c r="AY644">
        <v>9721040</v>
      </c>
      <c r="AZ644">
        <v>11436517.6470588</v>
      </c>
      <c r="BB644">
        <v>0.08</v>
      </c>
    </row>
    <row r="645" spans="1:56">
      <c r="A645" t="s">
        <v>686</v>
      </c>
      <c r="B645" t="s">
        <v>85</v>
      </c>
      <c r="C645">
        <v>2018</v>
      </c>
      <c r="E645">
        <v>2018</v>
      </c>
      <c r="F645" t="s">
        <v>27</v>
      </c>
      <c r="H645">
        <v>1250</v>
      </c>
      <c r="I645">
        <v>1</v>
      </c>
      <c r="J645" t="s">
        <v>98</v>
      </c>
      <c r="L645" t="s">
        <v>24</v>
      </c>
      <c r="M645">
        <v>64</v>
      </c>
      <c r="N645">
        <v>2.78</v>
      </c>
      <c r="P645">
        <v>0.77</v>
      </c>
      <c r="U645">
        <v>20</v>
      </c>
      <c r="Z645">
        <v>0.25</v>
      </c>
      <c r="AD645" t="s">
        <v>86</v>
      </c>
      <c r="AF645">
        <v>6.4310320000000004E-2</v>
      </c>
      <c r="AG645">
        <v>1250</v>
      </c>
      <c r="AH645">
        <v>3469542</v>
      </c>
      <c r="AK645" t="s">
        <v>709</v>
      </c>
      <c r="AL645" t="s">
        <v>597</v>
      </c>
      <c r="AM645">
        <v>580.40440000000001</v>
      </c>
      <c r="AO645" t="s">
        <v>35</v>
      </c>
      <c r="AQ645">
        <v>963762</v>
      </c>
      <c r="AS645">
        <v>289128.5</v>
      </c>
      <c r="AU645">
        <v>0.02</v>
      </c>
      <c r="AW645">
        <v>704198</v>
      </c>
      <c r="AY645">
        <v>14083960</v>
      </c>
      <c r="AZ645">
        <v>11267168</v>
      </c>
      <c r="BB645">
        <v>7.0000000000000007E-2</v>
      </c>
    </row>
    <row r="646" spans="1:56">
      <c r="A646" t="s">
        <v>686</v>
      </c>
      <c r="B646" t="s">
        <v>85</v>
      </c>
      <c r="C646">
        <v>2018</v>
      </c>
      <c r="E646">
        <v>2018</v>
      </c>
      <c r="F646" t="s">
        <v>27</v>
      </c>
      <c r="H646">
        <v>1800</v>
      </c>
      <c r="I646">
        <v>1</v>
      </c>
      <c r="J646" t="s">
        <v>99</v>
      </c>
      <c r="L646" t="s">
        <v>24</v>
      </c>
      <c r="N646">
        <v>2.88</v>
      </c>
      <c r="P646">
        <v>0.8</v>
      </c>
      <c r="U646">
        <v>20</v>
      </c>
      <c r="Z646">
        <v>0.22</v>
      </c>
      <c r="AD646" t="s">
        <v>86</v>
      </c>
      <c r="AF646">
        <v>7.4499555999999995E-2</v>
      </c>
      <c r="AG646">
        <v>1800</v>
      </c>
      <c r="AH646">
        <v>5187989</v>
      </c>
      <c r="AK646" t="s">
        <v>709</v>
      </c>
      <c r="AL646" t="s">
        <v>597</v>
      </c>
      <c r="AM646">
        <v>580.40440000000001</v>
      </c>
      <c r="AO646" t="s">
        <v>35</v>
      </c>
      <c r="AQ646">
        <v>1441108</v>
      </c>
      <c r="AS646">
        <v>432332.4</v>
      </c>
      <c r="AU646">
        <v>0.02</v>
      </c>
      <c r="AW646">
        <v>1174709</v>
      </c>
      <c r="AY646">
        <v>23494180</v>
      </c>
      <c r="AZ646">
        <v>13052322.2222222</v>
      </c>
      <c r="BB646">
        <v>0.06</v>
      </c>
    </row>
    <row r="647" spans="1:56">
      <c r="A647" t="s">
        <v>686</v>
      </c>
      <c r="B647" t="s">
        <v>85</v>
      </c>
      <c r="C647">
        <v>2018</v>
      </c>
      <c r="E647">
        <v>2018</v>
      </c>
      <c r="F647" t="s">
        <v>27</v>
      </c>
      <c r="H647">
        <v>2000</v>
      </c>
      <c r="I647">
        <v>1</v>
      </c>
      <c r="J647" t="s">
        <v>100</v>
      </c>
      <c r="L647" t="s">
        <v>24</v>
      </c>
      <c r="N647">
        <v>2.15</v>
      </c>
      <c r="P647">
        <v>0.6</v>
      </c>
      <c r="U647">
        <v>20</v>
      </c>
      <c r="Z647">
        <v>0.21</v>
      </c>
      <c r="AD647" t="s">
        <v>86</v>
      </c>
      <c r="AF647">
        <v>5.7279281000000001E-2</v>
      </c>
      <c r="AG647">
        <v>2000</v>
      </c>
      <c r="AH647">
        <v>4294111</v>
      </c>
      <c r="AK647" t="s">
        <v>709</v>
      </c>
      <c r="AL647" t="s">
        <v>597</v>
      </c>
      <c r="AM647">
        <v>580.40440000000001</v>
      </c>
      <c r="AO647" t="s">
        <v>35</v>
      </c>
      <c r="AQ647">
        <v>1192809</v>
      </c>
      <c r="AS647">
        <v>357842.6</v>
      </c>
      <c r="AU647">
        <v>0.02</v>
      </c>
      <c r="AW647">
        <v>1003533</v>
      </c>
      <c r="AY647">
        <v>20070660</v>
      </c>
      <c r="AZ647">
        <v>10035330</v>
      </c>
      <c r="BB647">
        <v>0.06</v>
      </c>
    </row>
    <row r="648" spans="1:56">
      <c r="A648" t="s">
        <v>686</v>
      </c>
      <c r="B648" t="s">
        <v>85</v>
      </c>
      <c r="C648">
        <v>2018</v>
      </c>
      <c r="E648">
        <v>2018</v>
      </c>
      <c r="F648" t="s">
        <v>27</v>
      </c>
      <c r="H648">
        <v>2000</v>
      </c>
      <c r="I648">
        <v>1</v>
      </c>
      <c r="J648" t="s">
        <v>101</v>
      </c>
      <c r="L648" t="s">
        <v>24</v>
      </c>
      <c r="N648">
        <v>3.32</v>
      </c>
      <c r="P648">
        <v>0.92</v>
      </c>
      <c r="U648">
        <v>20</v>
      </c>
      <c r="Z648">
        <v>0.19</v>
      </c>
      <c r="AD648" t="s">
        <v>86</v>
      </c>
      <c r="AF648">
        <v>0.100532591</v>
      </c>
      <c r="AG648">
        <v>2000</v>
      </c>
      <c r="AH648">
        <v>6648933</v>
      </c>
      <c r="AK648" t="s">
        <v>709</v>
      </c>
      <c r="AL648" t="s">
        <v>597</v>
      </c>
      <c r="AM648">
        <v>580.40440000000001</v>
      </c>
      <c r="AO648" t="s">
        <v>35</v>
      </c>
      <c r="AQ648">
        <v>1846926</v>
      </c>
      <c r="AS648">
        <v>554077.80000000005</v>
      </c>
      <c r="AU648">
        <v>0.02</v>
      </c>
      <c r="AW648">
        <v>1761331</v>
      </c>
      <c r="AY648">
        <v>35226620</v>
      </c>
      <c r="AZ648">
        <v>17613310</v>
      </c>
      <c r="BB648">
        <v>0.05</v>
      </c>
    </row>
    <row r="649" spans="1:56">
      <c r="A649" t="s">
        <v>686</v>
      </c>
      <c r="B649" t="s">
        <v>85</v>
      </c>
      <c r="C649">
        <v>2018</v>
      </c>
      <c r="E649">
        <v>2018</v>
      </c>
      <c r="F649" t="s">
        <v>27</v>
      </c>
      <c r="H649">
        <v>2000</v>
      </c>
      <c r="I649">
        <v>1</v>
      </c>
      <c r="J649" t="s">
        <v>102</v>
      </c>
      <c r="L649" t="s">
        <v>24</v>
      </c>
      <c r="N649">
        <v>3.3</v>
      </c>
      <c r="P649">
        <v>0.92</v>
      </c>
      <c r="U649">
        <v>20</v>
      </c>
      <c r="Z649">
        <v>0.23</v>
      </c>
      <c r="AD649" t="s">
        <v>86</v>
      </c>
      <c r="AF649">
        <v>8.2743606999999997E-2</v>
      </c>
      <c r="AG649">
        <v>2000</v>
      </c>
      <c r="AH649">
        <v>6607558</v>
      </c>
      <c r="AK649" t="s">
        <v>709</v>
      </c>
      <c r="AL649" t="s">
        <v>597</v>
      </c>
      <c r="AM649">
        <v>580.40440000000001</v>
      </c>
      <c r="AO649" t="s">
        <v>35</v>
      </c>
      <c r="AQ649">
        <v>1835433</v>
      </c>
      <c r="AS649">
        <v>550629.80000000005</v>
      </c>
      <c r="AU649">
        <v>0.02</v>
      </c>
      <c r="AW649">
        <v>1449668</v>
      </c>
      <c r="AY649">
        <v>28993360</v>
      </c>
      <c r="AZ649">
        <v>14496680</v>
      </c>
      <c r="BB649">
        <v>0.06</v>
      </c>
    </row>
    <row r="650" spans="1:56">
      <c r="A650" t="s">
        <v>686</v>
      </c>
      <c r="B650" t="s">
        <v>85</v>
      </c>
      <c r="C650">
        <v>2018</v>
      </c>
      <c r="E650">
        <v>2018</v>
      </c>
      <c r="F650" t="s">
        <v>27</v>
      </c>
      <c r="H650">
        <v>2000</v>
      </c>
      <c r="I650">
        <v>1</v>
      </c>
      <c r="J650" t="s">
        <v>103</v>
      </c>
      <c r="L650" t="s">
        <v>24</v>
      </c>
      <c r="M650">
        <v>80</v>
      </c>
      <c r="N650">
        <v>3.25</v>
      </c>
      <c r="P650">
        <v>0.9</v>
      </c>
      <c r="U650">
        <v>20</v>
      </c>
      <c r="Z650">
        <v>0.23</v>
      </c>
      <c r="AD650" t="s">
        <v>86</v>
      </c>
      <c r="AF650">
        <v>8.2026313000000003E-2</v>
      </c>
      <c r="AG650">
        <v>2000</v>
      </c>
      <c r="AH650">
        <v>6501330</v>
      </c>
      <c r="AK650" t="s">
        <v>709</v>
      </c>
      <c r="AL650" t="s">
        <v>597</v>
      </c>
      <c r="AM650">
        <v>580.40440000000001</v>
      </c>
      <c r="AO650" t="s">
        <v>35</v>
      </c>
      <c r="AQ650">
        <v>1805925</v>
      </c>
      <c r="AS650">
        <v>541777.5</v>
      </c>
      <c r="AU650">
        <v>0.02</v>
      </c>
      <c r="AW650">
        <v>1437101</v>
      </c>
      <c r="AY650">
        <v>28742020</v>
      </c>
      <c r="AZ650">
        <v>14371010</v>
      </c>
      <c r="BB650">
        <v>0.06</v>
      </c>
    </row>
    <row r="651" spans="1:56">
      <c r="A651" t="s">
        <v>686</v>
      </c>
      <c r="B651" t="s">
        <v>85</v>
      </c>
      <c r="C651">
        <v>2018</v>
      </c>
      <c r="E651">
        <v>2018</v>
      </c>
      <c r="F651" t="s">
        <v>27</v>
      </c>
      <c r="H651">
        <v>2000</v>
      </c>
      <c r="I651">
        <v>1</v>
      </c>
      <c r="J651" t="s">
        <v>104</v>
      </c>
      <c r="L651" t="s">
        <v>24</v>
      </c>
      <c r="N651">
        <v>3.96</v>
      </c>
      <c r="P651">
        <v>1.1000000000000001</v>
      </c>
      <c r="U651">
        <v>20</v>
      </c>
      <c r="Z651">
        <v>0.19</v>
      </c>
      <c r="AD651" t="s">
        <v>86</v>
      </c>
      <c r="AF651">
        <v>0.118619977</v>
      </c>
      <c r="AG651">
        <v>2000</v>
      </c>
      <c r="AH651">
        <v>7927528</v>
      </c>
      <c r="AK651" t="s">
        <v>709</v>
      </c>
      <c r="AL651" t="s">
        <v>597</v>
      </c>
      <c r="AM651">
        <v>580.40440000000001</v>
      </c>
      <c r="AO651" t="s">
        <v>35</v>
      </c>
      <c r="AQ651">
        <v>2202091</v>
      </c>
      <c r="AS651">
        <v>660627.30000000005</v>
      </c>
      <c r="AU651">
        <v>0.02</v>
      </c>
      <c r="AW651">
        <v>2078222</v>
      </c>
      <c r="AY651">
        <v>41564440</v>
      </c>
      <c r="AZ651">
        <v>20782220</v>
      </c>
      <c r="BB651">
        <v>0.05</v>
      </c>
    </row>
    <row r="652" spans="1:56">
      <c r="A652" t="s">
        <v>686</v>
      </c>
      <c r="B652" t="s">
        <v>85</v>
      </c>
      <c r="C652">
        <v>2018</v>
      </c>
      <c r="E652">
        <v>2018</v>
      </c>
      <c r="F652" t="s">
        <v>27</v>
      </c>
      <c r="H652">
        <v>3000</v>
      </c>
      <c r="I652">
        <v>1</v>
      </c>
      <c r="J652" t="s">
        <v>105</v>
      </c>
      <c r="L652" t="s">
        <v>24</v>
      </c>
      <c r="N652">
        <v>2.85</v>
      </c>
      <c r="P652">
        <v>0.79</v>
      </c>
      <c r="U652">
        <v>20</v>
      </c>
      <c r="Z652">
        <v>0.15</v>
      </c>
      <c r="AD652" t="s">
        <v>86</v>
      </c>
      <c r="AF652">
        <v>0.10565136999999999</v>
      </c>
      <c r="AG652">
        <v>3000</v>
      </c>
      <c r="AH652">
        <v>8560661</v>
      </c>
      <c r="AK652" t="s">
        <v>709</v>
      </c>
      <c r="AL652" t="s">
        <v>597</v>
      </c>
      <c r="AM652">
        <v>580.40440000000001</v>
      </c>
      <c r="AO652" t="s">
        <v>35</v>
      </c>
      <c r="AQ652">
        <v>2377961</v>
      </c>
      <c r="AS652">
        <v>713388.4</v>
      </c>
      <c r="AU652">
        <v>0.01</v>
      </c>
      <c r="AW652">
        <v>2776518</v>
      </c>
      <c r="AY652">
        <v>55530360</v>
      </c>
      <c r="AZ652">
        <v>18510120</v>
      </c>
      <c r="BB652">
        <v>0.04</v>
      </c>
    </row>
    <row r="653" spans="1:56">
      <c r="A653" t="s">
        <v>759</v>
      </c>
      <c r="B653" t="s">
        <v>26</v>
      </c>
      <c r="C653">
        <v>2018</v>
      </c>
      <c r="E653">
        <v>2018</v>
      </c>
      <c r="F653" t="s">
        <v>27</v>
      </c>
      <c r="G653" t="s">
        <v>19</v>
      </c>
      <c r="L653" t="s">
        <v>24</v>
      </c>
      <c r="AB653" t="s">
        <v>113</v>
      </c>
      <c r="AD653" t="s">
        <v>33</v>
      </c>
      <c r="AK653" t="s">
        <v>709</v>
      </c>
      <c r="AL653" t="s">
        <v>597</v>
      </c>
      <c r="AM653">
        <v>580.40440000000001</v>
      </c>
      <c r="BD653">
        <v>30.57</v>
      </c>
    </row>
    <row r="654" spans="1:56">
      <c r="A654" t="s">
        <v>759</v>
      </c>
      <c r="B654" t="s">
        <v>26</v>
      </c>
      <c r="C654">
        <v>2018</v>
      </c>
      <c r="E654">
        <v>2018</v>
      </c>
      <c r="F654" t="s">
        <v>27</v>
      </c>
      <c r="G654" t="s">
        <v>19</v>
      </c>
      <c r="L654" t="s">
        <v>24</v>
      </c>
      <c r="AB654" t="s">
        <v>114</v>
      </c>
      <c r="AD654" t="s">
        <v>33</v>
      </c>
      <c r="AK654" t="s">
        <v>709</v>
      </c>
      <c r="AL654" t="s">
        <v>597</v>
      </c>
      <c r="AM654">
        <v>580.40440000000001</v>
      </c>
      <c r="BD654">
        <v>25.68</v>
      </c>
    </row>
    <row r="655" spans="1:56">
      <c r="A655" t="s">
        <v>759</v>
      </c>
      <c r="B655" t="s">
        <v>26</v>
      </c>
      <c r="C655">
        <v>2018</v>
      </c>
      <c r="E655">
        <v>2018</v>
      </c>
      <c r="F655" t="s">
        <v>27</v>
      </c>
      <c r="G655" t="s">
        <v>19</v>
      </c>
      <c r="L655" t="s">
        <v>24</v>
      </c>
      <c r="AB655" t="s">
        <v>115</v>
      </c>
      <c r="AD655" t="s">
        <v>33</v>
      </c>
      <c r="AK655" t="s">
        <v>709</v>
      </c>
      <c r="AL655" t="s">
        <v>597</v>
      </c>
      <c r="AM655">
        <v>580.40440000000001</v>
      </c>
      <c r="BD655">
        <v>22.52</v>
      </c>
    </row>
    <row r="656" spans="1:56">
      <c r="A656" t="s">
        <v>759</v>
      </c>
      <c r="B656" t="s">
        <v>26</v>
      </c>
      <c r="C656">
        <v>2018</v>
      </c>
      <c r="E656">
        <v>2018</v>
      </c>
      <c r="F656" t="s">
        <v>27</v>
      </c>
      <c r="G656" t="s">
        <v>19</v>
      </c>
      <c r="L656" t="s">
        <v>24</v>
      </c>
      <c r="AB656" t="s">
        <v>116</v>
      </c>
      <c r="AD656" t="s">
        <v>33</v>
      </c>
      <c r="AK656" t="s">
        <v>709</v>
      </c>
      <c r="AL656" t="s">
        <v>597</v>
      </c>
      <c r="AM656">
        <v>580.40440000000001</v>
      </c>
      <c r="BD656">
        <v>19.66</v>
      </c>
    </row>
    <row r="657" spans="1:56">
      <c r="A657" t="s">
        <v>759</v>
      </c>
      <c r="B657" t="s">
        <v>26</v>
      </c>
      <c r="C657">
        <v>2018</v>
      </c>
      <c r="E657">
        <v>2018</v>
      </c>
      <c r="F657" t="s">
        <v>27</v>
      </c>
      <c r="G657" t="s">
        <v>19</v>
      </c>
      <c r="L657" t="s">
        <v>24</v>
      </c>
      <c r="AB657" t="s">
        <v>117</v>
      </c>
      <c r="AD657" t="s">
        <v>33</v>
      </c>
      <c r="AK657" t="s">
        <v>709</v>
      </c>
      <c r="AL657" t="s">
        <v>597</v>
      </c>
      <c r="AM657">
        <v>580.40440000000001</v>
      </c>
      <c r="BD657">
        <v>16.8</v>
      </c>
    </row>
    <row r="658" spans="1:56">
      <c r="A658" t="s">
        <v>684</v>
      </c>
      <c r="B658" t="s">
        <v>162</v>
      </c>
      <c r="C658">
        <v>2018</v>
      </c>
      <c r="E658">
        <v>2018</v>
      </c>
      <c r="F658" t="s">
        <v>27</v>
      </c>
      <c r="G658" t="s">
        <v>163</v>
      </c>
      <c r="H658">
        <v>2000</v>
      </c>
      <c r="I658">
        <v>1</v>
      </c>
      <c r="AD658" t="s">
        <v>28</v>
      </c>
      <c r="AG658">
        <v>2000</v>
      </c>
      <c r="AK658" t="s">
        <v>709</v>
      </c>
      <c r="AL658" t="s">
        <v>597</v>
      </c>
      <c r="AM658">
        <v>580.40440000000001</v>
      </c>
      <c r="AO658" t="s">
        <v>35</v>
      </c>
      <c r="AU658">
        <v>0.03</v>
      </c>
      <c r="BB658">
        <v>0.09</v>
      </c>
    </row>
    <row r="659" spans="1:56">
      <c r="A659" t="s">
        <v>684</v>
      </c>
      <c r="B659" t="s">
        <v>162</v>
      </c>
      <c r="C659">
        <v>2018</v>
      </c>
      <c r="E659">
        <v>2018</v>
      </c>
      <c r="F659" t="s">
        <v>27</v>
      </c>
      <c r="G659" t="s">
        <v>73</v>
      </c>
      <c r="H659">
        <v>2000</v>
      </c>
      <c r="I659">
        <v>1</v>
      </c>
      <c r="AD659" t="s">
        <v>28</v>
      </c>
      <c r="AG659">
        <v>2000</v>
      </c>
      <c r="AK659" t="s">
        <v>709</v>
      </c>
      <c r="AL659" t="s">
        <v>597</v>
      </c>
      <c r="AM659">
        <v>580.40440000000001</v>
      </c>
      <c r="AO659" t="s">
        <v>35</v>
      </c>
      <c r="AU659">
        <v>0.02</v>
      </c>
      <c r="BB659">
        <v>0.06</v>
      </c>
    </row>
    <row r="660" spans="1:56">
      <c r="A660" t="s">
        <v>747</v>
      </c>
      <c r="B660" t="s">
        <v>164</v>
      </c>
      <c r="C660">
        <v>2018</v>
      </c>
      <c r="E660">
        <v>2018</v>
      </c>
      <c r="F660" t="s">
        <v>27</v>
      </c>
      <c r="G660" t="s">
        <v>165</v>
      </c>
      <c r="H660">
        <v>2000</v>
      </c>
      <c r="I660">
        <v>1</v>
      </c>
      <c r="Q660">
        <v>4655792</v>
      </c>
      <c r="S660">
        <v>2.33</v>
      </c>
      <c r="U660">
        <v>20</v>
      </c>
      <c r="AD660" t="s">
        <v>86</v>
      </c>
      <c r="AF660">
        <v>0.228310502</v>
      </c>
      <c r="AG660">
        <v>2000</v>
      </c>
      <c r="AK660" t="s">
        <v>709</v>
      </c>
      <c r="AL660" t="s">
        <v>597</v>
      </c>
      <c r="AM660">
        <v>580.40440000000001</v>
      </c>
      <c r="AO660" t="s">
        <v>35</v>
      </c>
      <c r="AW660">
        <v>4000000</v>
      </c>
      <c r="AY660">
        <v>80000000</v>
      </c>
      <c r="AZ660">
        <v>40000000</v>
      </c>
      <c r="BD660">
        <v>58.2</v>
      </c>
    </row>
    <row r="661" spans="1:56">
      <c r="A661" t="s">
        <v>745</v>
      </c>
      <c r="B661" t="s">
        <v>172</v>
      </c>
      <c r="C661">
        <v>2018</v>
      </c>
      <c r="E661">
        <v>2018</v>
      </c>
      <c r="F661" t="s">
        <v>27</v>
      </c>
      <c r="G661" t="s">
        <v>73</v>
      </c>
      <c r="H661">
        <v>1</v>
      </c>
      <c r="I661">
        <v>1</v>
      </c>
      <c r="J661" t="s">
        <v>173</v>
      </c>
      <c r="L661" t="s">
        <v>24</v>
      </c>
      <c r="M661">
        <v>2</v>
      </c>
      <c r="N661">
        <v>37.76</v>
      </c>
      <c r="P661">
        <v>10.49</v>
      </c>
      <c r="Q661">
        <v>3600</v>
      </c>
      <c r="S661">
        <v>3.6</v>
      </c>
      <c r="U661">
        <v>20</v>
      </c>
      <c r="Z661">
        <v>2.36</v>
      </c>
      <c r="AD661" t="s">
        <v>33</v>
      </c>
      <c r="AE661">
        <v>2</v>
      </c>
      <c r="AF661">
        <v>9.1324200999999994E-2</v>
      </c>
      <c r="AG661">
        <v>1</v>
      </c>
      <c r="AH661">
        <v>37760</v>
      </c>
      <c r="AK661" t="s">
        <v>709</v>
      </c>
      <c r="AL661" t="s">
        <v>597</v>
      </c>
      <c r="AM661">
        <v>580.40440000000001</v>
      </c>
      <c r="AQ661">
        <v>10489</v>
      </c>
      <c r="AS661">
        <v>3146.7</v>
      </c>
      <c r="AU661">
        <v>0.2</v>
      </c>
      <c r="AW661">
        <v>800</v>
      </c>
      <c r="AY661">
        <v>16000</v>
      </c>
      <c r="AZ661">
        <v>16000000</v>
      </c>
      <c r="BB661">
        <v>0.66</v>
      </c>
      <c r="BD661">
        <v>225</v>
      </c>
    </row>
    <row r="662" spans="1:56">
      <c r="A662" t="s">
        <v>745</v>
      </c>
      <c r="B662" t="s">
        <v>172</v>
      </c>
      <c r="C662">
        <v>2018</v>
      </c>
      <c r="E662">
        <v>2018</v>
      </c>
      <c r="F662" t="s">
        <v>27</v>
      </c>
      <c r="G662" t="s">
        <v>73</v>
      </c>
      <c r="H662">
        <v>3</v>
      </c>
      <c r="I662">
        <v>1</v>
      </c>
      <c r="J662" t="s">
        <v>174</v>
      </c>
      <c r="L662" t="s">
        <v>24</v>
      </c>
      <c r="M662">
        <v>3</v>
      </c>
      <c r="N662">
        <v>30.01</v>
      </c>
      <c r="P662">
        <v>8.34</v>
      </c>
      <c r="Q662">
        <v>8567</v>
      </c>
      <c r="S662">
        <v>2.86</v>
      </c>
      <c r="U662">
        <v>20</v>
      </c>
      <c r="Z662">
        <v>1.86</v>
      </c>
      <c r="AD662" t="s">
        <v>33</v>
      </c>
      <c r="AE662">
        <v>3.2</v>
      </c>
      <c r="AF662">
        <v>9.2085236000000001E-2</v>
      </c>
      <c r="AG662">
        <v>3</v>
      </c>
      <c r="AH662">
        <v>90024</v>
      </c>
      <c r="AK662" t="s">
        <v>709</v>
      </c>
      <c r="AL662" t="s">
        <v>597</v>
      </c>
      <c r="AM662">
        <v>580.40440000000001</v>
      </c>
      <c r="AQ662">
        <v>25007</v>
      </c>
      <c r="AS662">
        <v>7502</v>
      </c>
      <c r="AU662">
        <v>0.16</v>
      </c>
      <c r="AW662">
        <v>2420</v>
      </c>
      <c r="AY662">
        <v>48400</v>
      </c>
      <c r="AZ662">
        <v>16133333.3333333</v>
      </c>
      <c r="BB662">
        <v>0.52</v>
      </c>
      <c r="BD662">
        <v>177</v>
      </c>
    </row>
    <row r="663" spans="1:56">
      <c r="A663" t="s">
        <v>729</v>
      </c>
      <c r="B663" t="s">
        <v>121</v>
      </c>
      <c r="C663">
        <v>2018</v>
      </c>
      <c r="E663">
        <v>2018</v>
      </c>
      <c r="F663" t="s">
        <v>27</v>
      </c>
      <c r="G663" t="s">
        <v>259</v>
      </c>
      <c r="H663">
        <v>2000</v>
      </c>
      <c r="I663">
        <v>1</v>
      </c>
      <c r="J663" t="s">
        <v>260</v>
      </c>
      <c r="L663" t="s">
        <v>24</v>
      </c>
      <c r="M663">
        <v>70</v>
      </c>
      <c r="Q663">
        <v>526400</v>
      </c>
      <c r="S663">
        <v>0.26</v>
      </c>
      <c r="U663">
        <v>20</v>
      </c>
      <c r="AD663" t="s">
        <v>33</v>
      </c>
      <c r="AE663">
        <v>60</v>
      </c>
      <c r="AF663">
        <v>0.228310502</v>
      </c>
      <c r="AG663">
        <v>2000</v>
      </c>
      <c r="AK663" t="s">
        <v>709</v>
      </c>
      <c r="AL663" t="s">
        <v>597</v>
      </c>
      <c r="AM663">
        <v>580.40440000000001</v>
      </c>
      <c r="AO663" t="s">
        <v>35</v>
      </c>
      <c r="AW663">
        <v>4000000</v>
      </c>
      <c r="AY663">
        <v>80000000</v>
      </c>
      <c r="AZ663">
        <v>40000000</v>
      </c>
      <c r="BD663">
        <v>6.58</v>
      </c>
    </row>
    <row r="664" spans="1:56">
      <c r="A664" t="s">
        <v>729</v>
      </c>
      <c r="B664" t="s">
        <v>121</v>
      </c>
      <c r="C664">
        <v>2018</v>
      </c>
      <c r="E664">
        <v>2018</v>
      </c>
      <c r="F664" t="s">
        <v>27</v>
      </c>
      <c r="G664" t="s">
        <v>259</v>
      </c>
      <c r="H664">
        <v>2000</v>
      </c>
      <c r="I664">
        <v>17</v>
      </c>
      <c r="J664" t="s">
        <v>261</v>
      </c>
      <c r="L664" t="s">
        <v>24</v>
      </c>
      <c r="Q664">
        <v>25210500</v>
      </c>
      <c r="S664">
        <v>0.74</v>
      </c>
      <c r="U664">
        <v>27</v>
      </c>
      <c r="AB664" t="s">
        <v>262</v>
      </c>
      <c r="AD664" t="s">
        <v>22</v>
      </c>
      <c r="AF664">
        <v>0.21139861300000001</v>
      </c>
      <c r="AG664">
        <v>34000</v>
      </c>
      <c r="AK664" t="s">
        <v>709</v>
      </c>
      <c r="AL664" t="s">
        <v>597</v>
      </c>
      <c r="AM664">
        <v>580.40440000000001</v>
      </c>
      <c r="AO664" t="s">
        <v>35</v>
      </c>
      <c r="AW664">
        <v>62962962.962963</v>
      </c>
      <c r="AY664">
        <v>1700000000</v>
      </c>
      <c r="AZ664">
        <v>50000000</v>
      </c>
      <c r="BD664">
        <v>0.01</v>
      </c>
    </row>
    <row r="665" spans="1:56">
      <c r="A665" t="s">
        <v>729</v>
      </c>
      <c r="B665" t="s">
        <v>121</v>
      </c>
      <c r="C665">
        <v>2018</v>
      </c>
      <c r="E665">
        <v>2018</v>
      </c>
      <c r="F665" t="s">
        <v>27</v>
      </c>
      <c r="G665" t="s">
        <v>259</v>
      </c>
      <c r="H665">
        <v>660</v>
      </c>
      <c r="I665">
        <v>37</v>
      </c>
      <c r="J665" t="s">
        <v>263</v>
      </c>
      <c r="L665" t="s">
        <v>24</v>
      </c>
      <c r="Q665">
        <v>12397400</v>
      </c>
      <c r="S665">
        <v>0.51</v>
      </c>
      <c r="U665">
        <v>20</v>
      </c>
      <c r="AB665" t="s">
        <v>264</v>
      </c>
      <c r="AD665" t="s">
        <v>22</v>
      </c>
      <c r="AF665">
        <v>0.21139861300000001</v>
      </c>
      <c r="AG665">
        <v>24420</v>
      </c>
      <c r="AK665" t="s">
        <v>709</v>
      </c>
      <c r="AL665" t="s">
        <v>597</v>
      </c>
      <c r="AM665">
        <v>580.40440000000001</v>
      </c>
      <c r="AO665" t="s">
        <v>20</v>
      </c>
      <c r="AW665">
        <v>45222222.222222202</v>
      </c>
      <c r="AY665">
        <v>904444444.44444394</v>
      </c>
      <c r="AZ665">
        <v>37037037.037037</v>
      </c>
      <c r="BD665">
        <v>0.01</v>
      </c>
    </row>
    <row r="666" spans="1:56">
      <c r="A666" t="s">
        <v>729</v>
      </c>
      <c r="B666" t="s">
        <v>121</v>
      </c>
      <c r="C666">
        <v>2018</v>
      </c>
      <c r="E666">
        <v>2018</v>
      </c>
      <c r="F666" t="s">
        <v>27</v>
      </c>
      <c r="G666" t="s">
        <v>259</v>
      </c>
      <c r="H666">
        <v>2000</v>
      </c>
      <c r="I666">
        <v>17</v>
      </c>
      <c r="J666" t="s">
        <v>261</v>
      </c>
      <c r="L666" t="s">
        <v>24</v>
      </c>
      <c r="Q666">
        <v>13327100</v>
      </c>
      <c r="S666">
        <v>0.39</v>
      </c>
      <c r="U666">
        <v>20</v>
      </c>
      <c r="AB666" t="s">
        <v>264</v>
      </c>
      <c r="AD666" t="s">
        <v>22</v>
      </c>
      <c r="AF666">
        <v>0.21139861300000001</v>
      </c>
      <c r="AG666">
        <v>34000</v>
      </c>
      <c r="AK666" t="s">
        <v>709</v>
      </c>
      <c r="AL666" t="s">
        <v>597</v>
      </c>
      <c r="AM666">
        <v>580.40440000000001</v>
      </c>
      <c r="AO666" t="s">
        <v>35</v>
      </c>
      <c r="AW666">
        <v>62962962.962963</v>
      </c>
      <c r="AY666">
        <v>1259259259.2592599</v>
      </c>
      <c r="AZ666">
        <v>37037037.037037</v>
      </c>
      <c r="BD666">
        <v>0.01</v>
      </c>
    </row>
    <row r="667" spans="1:56">
      <c r="A667" t="s">
        <v>727</v>
      </c>
      <c r="B667" t="s">
        <v>278</v>
      </c>
      <c r="C667">
        <v>2018</v>
      </c>
      <c r="E667">
        <v>2018</v>
      </c>
      <c r="F667" t="s">
        <v>27</v>
      </c>
      <c r="G667" t="s">
        <v>19</v>
      </c>
      <c r="J667" t="s">
        <v>279</v>
      </c>
      <c r="L667" t="s">
        <v>24</v>
      </c>
      <c r="Q667">
        <v>22507300</v>
      </c>
      <c r="S667">
        <v>0.45</v>
      </c>
      <c r="U667">
        <v>20</v>
      </c>
      <c r="AD667" t="s">
        <v>33</v>
      </c>
      <c r="AF667">
        <v>0.30003228599999998</v>
      </c>
      <c r="AG667">
        <v>49500</v>
      </c>
      <c r="AK667" t="s">
        <v>709</v>
      </c>
      <c r="AL667" t="s">
        <v>597</v>
      </c>
      <c r="AM667">
        <v>580.40440000000001</v>
      </c>
      <c r="AO667" t="s">
        <v>20</v>
      </c>
      <c r="AW667">
        <v>130100000</v>
      </c>
      <c r="AY667">
        <v>2602000000</v>
      </c>
      <c r="AZ667">
        <v>52565656.565656602</v>
      </c>
      <c r="BD667">
        <v>8.65</v>
      </c>
    </row>
    <row r="668" spans="1:56">
      <c r="A668" t="s">
        <v>723</v>
      </c>
      <c r="B668" t="s">
        <v>29</v>
      </c>
      <c r="C668">
        <v>2018</v>
      </c>
      <c r="E668">
        <v>2018</v>
      </c>
      <c r="F668" t="s">
        <v>27</v>
      </c>
      <c r="H668">
        <v>1000</v>
      </c>
      <c r="I668">
        <v>1</v>
      </c>
      <c r="L668" t="s">
        <v>24</v>
      </c>
      <c r="N668">
        <v>9.1999999999999993</v>
      </c>
      <c r="U668">
        <v>20</v>
      </c>
      <c r="Z668">
        <v>0.21</v>
      </c>
      <c r="AD668" t="s">
        <v>33</v>
      </c>
      <c r="AF668">
        <v>0.251</v>
      </c>
      <c r="AG668">
        <v>1000</v>
      </c>
      <c r="AH668">
        <v>9195600</v>
      </c>
      <c r="AK668" t="s">
        <v>709</v>
      </c>
      <c r="AL668" t="s">
        <v>597</v>
      </c>
      <c r="AM668">
        <v>580.40440000000001</v>
      </c>
      <c r="AO668" t="s">
        <v>35</v>
      </c>
      <c r="AU668">
        <v>0.02</v>
      </c>
      <c r="AW668">
        <v>2194444.4444444398</v>
      </c>
      <c r="AY668">
        <v>43888888.888888903</v>
      </c>
      <c r="AZ668">
        <v>43888888.888888903</v>
      </c>
      <c r="BB668">
        <v>0.06</v>
      </c>
    </row>
    <row r="669" spans="1:56">
      <c r="A669" t="s">
        <v>723</v>
      </c>
      <c r="B669" t="s">
        <v>29</v>
      </c>
      <c r="C669">
        <v>2018</v>
      </c>
      <c r="E669">
        <v>2018</v>
      </c>
      <c r="F669" t="s">
        <v>27</v>
      </c>
      <c r="G669" t="s">
        <v>285</v>
      </c>
      <c r="H669">
        <v>1000</v>
      </c>
      <c r="I669">
        <v>1</v>
      </c>
      <c r="L669" t="s">
        <v>24</v>
      </c>
      <c r="N669">
        <v>9.33</v>
      </c>
      <c r="U669">
        <v>20</v>
      </c>
      <c r="Z669">
        <v>0.19</v>
      </c>
      <c r="AD669" t="s">
        <v>33</v>
      </c>
      <c r="AF669">
        <v>0.28100000000000003</v>
      </c>
      <c r="AG669">
        <v>1000</v>
      </c>
      <c r="AH669">
        <v>9327900</v>
      </c>
      <c r="AK669" t="s">
        <v>709</v>
      </c>
      <c r="AL669" t="s">
        <v>597</v>
      </c>
      <c r="AM669">
        <v>580.40440000000001</v>
      </c>
      <c r="AO669" t="s">
        <v>35</v>
      </c>
      <c r="AU669">
        <v>0.02</v>
      </c>
      <c r="AW669">
        <v>2458333.3333333302</v>
      </c>
      <c r="AY669">
        <v>49166666.666666701</v>
      </c>
      <c r="AZ669">
        <v>49166666.666666701</v>
      </c>
      <c r="BB669">
        <v>0.05</v>
      </c>
    </row>
    <row r="670" spans="1:56">
      <c r="A670" t="s">
        <v>688</v>
      </c>
      <c r="B670" t="s">
        <v>550</v>
      </c>
      <c r="C670">
        <v>2018</v>
      </c>
      <c r="E670">
        <v>2018</v>
      </c>
      <c r="H670">
        <v>1000</v>
      </c>
      <c r="I670">
        <v>1</v>
      </c>
      <c r="J670" t="s">
        <v>545</v>
      </c>
      <c r="L670" t="s">
        <v>24</v>
      </c>
      <c r="Q670">
        <v>450702</v>
      </c>
      <c r="S670">
        <v>0.45</v>
      </c>
      <c r="U670">
        <v>20</v>
      </c>
      <c r="AF670">
        <v>0.35</v>
      </c>
      <c r="AG670">
        <v>1000</v>
      </c>
      <c r="AK670" t="s">
        <v>643</v>
      </c>
      <c r="AL670" t="s">
        <v>597</v>
      </c>
      <c r="AM670">
        <v>580.40440000000001</v>
      </c>
      <c r="AW670">
        <v>3066000</v>
      </c>
      <c r="AY670">
        <v>61320000</v>
      </c>
      <c r="AZ670">
        <v>61320000</v>
      </c>
      <c r="BD670">
        <v>7.35</v>
      </c>
    </row>
    <row r="671" spans="1:56">
      <c r="A671" t="s">
        <v>688</v>
      </c>
      <c r="B671" t="s">
        <v>550</v>
      </c>
      <c r="C671">
        <v>2018</v>
      </c>
      <c r="E671">
        <v>2018</v>
      </c>
      <c r="H671">
        <v>2000</v>
      </c>
      <c r="I671">
        <v>1</v>
      </c>
      <c r="J671" t="s">
        <v>545</v>
      </c>
      <c r="L671" t="s">
        <v>24</v>
      </c>
      <c r="Q671">
        <v>869518</v>
      </c>
      <c r="S671">
        <v>0.43</v>
      </c>
      <c r="U671">
        <v>20</v>
      </c>
      <c r="AF671">
        <v>0.35</v>
      </c>
      <c r="AG671">
        <v>2000</v>
      </c>
      <c r="AK671" t="s">
        <v>643</v>
      </c>
      <c r="AL671" t="s">
        <v>597</v>
      </c>
      <c r="AM671">
        <v>580.40440000000001</v>
      </c>
      <c r="AW671">
        <v>6132000</v>
      </c>
      <c r="AY671">
        <v>122640000</v>
      </c>
      <c r="AZ671">
        <v>61320000</v>
      </c>
      <c r="BD671">
        <v>7.09</v>
      </c>
    </row>
    <row r="672" spans="1:56">
      <c r="A672" t="s">
        <v>688</v>
      </c>
      <c r="B672" t="s">
        <v>550</v>
      </c>
      <c r="C672">
        <v>2018</v>
      </c>
      <c r="E672">
        <v>2018</v>
      </c>
      <c r="H672">
        <v>2300</v>
      </c>
      <c r="I672">
        <v>1</v>
      </c>
      <c r="J672" t="s">
        <v>545</v>
      </c>
      <c r="L672" t="s">
        <v>24</v>
      </c>
      <c r="Q672">
        <v>823650</v>
      </c>
      <c r="S672">
        <v>0.36</v>
      </c>
      <c r="U672">
        <v>20</v>
      </c>
      <c r="AF672">
        <v>0.35</v>
      </c>
      <c r="AG672">
        <v>2300</v>
      </c>
      <c r="AK672" t="s">
        <v>643</v>
      </c>
      <c r="AL672" t="s">
        <v>597</v>
      </c>
      <c r="AM672">
        <v>580.40440000000001</v>
      </c>
      <c r="AW672">
        <v>7051800</v>
      </c>
      <c r="AY672">
        <v>141036000</v>
      </c>
      <c r="AZ672">
        <v>61320000</v>
      </c>
      <c r="BD672">
        <v>5.84</v>
      </c>
    </row>
    <row r="673" spans="1:56">
      <c r="A673" t="s">
        <v>688</v>
      </c>
      <c r="B673" t="s">
        <v>550</v>
      </c>
      <c r="C673">
        <v>2018</v>
      </c>
      <c r="E673">
        <v>2018</v>
      </c>
      <c r="H673">
        <v>2000</v>
      </c>
      <c r="I673">
        <v>1</v>
      </c>
      <c r="J673" t="s">
        <v>545</v>
      </c>
      <c r="L673" t="s">
        <v>31</v>
      </c>
      <c r="Q673">
        <v>1496383</v>
      </c>
      <c r="S673">
        <v>0.75</v>
      </c>
      <c r="U673">
        <v>20</v>
      </c>
      <c r="AF673">
        <v>0.45</v>
      </c>
      <c r="AG673">
        <v>2000</v>
      </c>
      <c r="AK673" t="s">
        <v>643</v>
      </c>
      <c r="AL673" t="s">
        <v>597</v>
      </c>
      <c r="AM673">
        <v>580.40440000000001</v>
      </c>
      <c r="AN673" t="s">
        <v>551</v>
      </c>
      <c r="AW673">
        <v>7884000</v>
      </c>
      <c r="AY673">
        <v>157680000</v>
      </c>
      <c r="AZ673">
        <v>78840000</v>
      </c>
      <c r="BD673">
        <v>9.49</v>
      </c>
    </row>
    <row r="674" spans="1:56">
      <c r="A674" t="s">
        <v>688</v>
      </c>
      <c r="B674" t="s">
        <v>550</v>
      </c>
      <c r="C674">
        <v>2018</v>
      </c>
      <c r="E674">
        <v>2018</v>
      </c>
      <c r="H674">
        <v>2300</v>
      </c>
      <c r="I674">
        <v>1</v>
      </c>
      <c r="J674" t="s">
        <v>545</v>
      </c>
      <c r="L674" t="s">
        <v>31</v>
      </c>
      <c r="Q674">
        <v>1176845</v>
      </c>
      <c r="S674">
        <v>0.51</v>
      </c>
      <c r="U674">
        <v>20</v>
      </c>
      <c r="AF674">
        <v>0.45</v>
      </c>
      <c r="AG674">
        <v>2300</v>
      </c>
      <c r="AK674" t="s">
        <v>643</v>
      </c>
      <c r="AL674" t="s">
        <v>597</v>
      </c>
      <c r="AM674">
        <v>580.40440000000001</v>
      </c>
      <c r="AN674" t="s">
        <v>551</v>
      </c>
      <c r="AW674">
        <v>9066600</v>
      </c>
      <c r="AY674">
        <v>181332000</v>
      </c>
      <c r="AZ674">
        <v>78840000</v>
      </c>
      <c r="BD674">
        <v>6.49</v>
      </c>
    </row>
    <row r="675" spans="1:56">
      <c r="A675" t="s">
        <v>688</v>
      </c>
      <c r="B675" t="s">
        <v>550</v>
      </c>
      <c r="C675">
        <v>2018</v>
      </c>
      <c r="E675">
        <v>2018</v>
      </c>
      <c r="H675">
        <v>2300</v>
      </c>
      <c r="I675">
        <v>1</v>
      </c>
      <c r="J675" t="s">
        <v>545</v>
      </c>
      <c r="L675" t="s">
        <v>31</v>
      </c>
      <c r="Q675">
        <v>1494297</v>
      </c>
      <c r="S675">
        <v>0.65</v>
      </c>
      <c r="U675">
        <v>20</v>
      </c>
      <c r="AF675">
        <v>0.47</v>
      </c>
      <c r="AG675">
        <v>2300</v>
      </c>
      <c r="AK675" t="s">
        <v>643</v>
      </c>
      <c r="AL675" t="s">
        <v>597</v>
      </c>
      <c r="AM675">
        <v>580.40440000000001</v>
      </c>
      <c r="AN675" t="s">
        <v>552</v>
      </c>
      <c r="AW675">
        <v>9469560</v>
      </c>
      <c r="AY675">
        <v>189391200</v>
      </c>
      <c r="AZ675">
        <v>82344000</v>
      </c>
      <c r="BD675">
        <v>7.89</v>
      </c>
    </row>
    <row r="676" spans="1:56">
      <c r="A676" t="s">
        <v>688</v>
      </c>
      <c r="B676" t="s">
        <v>550</v>
      </c>
      <c r="C676">
        <v>2018</v>
      </c>
      <c r="E676">
        <v>2018</v>
      </c>
      <c r="H676">
        <v>5000</v>
      </c>
      <c r="I676">
        <v>1</v>
      </c>
      <c r="J676" t="s">
        <v>545</v>
      </c>
      <c r="L676" t="s">
        <v>31</v>
      </c>
      <c r="Q676">
        <v>2997322</v>
      </c>
      <c r="S676">
        <v>0.6</v>
      </c>
      <c r="U676">
        <v>20</v>
      </c>
      <c r="AF676">
        <v>0.47</v>
      </c>
      <c r="AG676">
        <v>5000</v>
      </c>
      <c r="AK676" t="s">
        <v>643</v>
      </c>
      <c r="AL676" t="s">
        <v>597</v>
      </c>
      <c r="AM676">
        <v>580.40440000000001</v>
      </c>
      <c r="AN676" t="s">
        <v>552</v>
      </c>
      <c r="AW676">
        <v>20586000</v>
      </c>
      <c r="AY676">
        <v>411720000</v>
      </c>
      <c r="AZ676">
        <v>82344000</v>
      </c>
      <c r="BD676">
        <v>7.28</v>
      </c>
    </row>
    <row r="677" spans="1:56">
      <c r="A677" t="s">
        <v>687</v>
      </c>
      <c r="B677" t="s">
        <v>429</v>
      </c>
      <c r="C677">
        <v>2018</v>
      </c>
      <c r="E677">
        <v>2018</v>
      </c>
      <c r="H677">
        <v>2000</v>
      </c>
      <c r="I677">
        <v>1</v>
      </c>
      <c r="J677" t="s">
        <v>545</v>
      </c>
      <c r="L677" t="s">
        <v>24</v>
      </c>
      <c r="Q677">
        <v>806971</v>
      </c>
      <c r="S677">
        <v>0.4</v>
      </c>
      <c r="U677">
        <v>20</v>
      </c>
      <c r="AF677">
        <v>0.35</v>
      </c>
      <c r="AG677">
        <v>2000</v>
      </c>
      <c r="AK677" t="s">
        <v>643</v>
      </c>
      <c r="AL677" t="s">
        <v>597</v>
      </c>
      <c r="AM677">
        <v>580.40440000000001</v>
      </c>
      <c r="AW677">
        <v>6132000</v>
      </c>
      <c r="AY677">
        <v>122640000</v>
      </c>
      <c r="AZ677">
        <v>61320000</v>
      </c>
      <c r="BD677">
        <v>6.58</v>
      </c>
    </row>
    <row r="678" spans="1:56">
      <c r="A678" t="s">
        <v>686</v>
      </c>
      <c r="B678" t="s">
        <v>85</v>
      </c>
      <c r="C678">
        <v>2018</v>
      </c>
      <c r="E678">
        <v>2018</v>
      </c>
      <c r="H678">
        <v>1</v>
      </c>
      <c r="I678">
        <v>1</v>
      </c>
      <c r="J678" t="s">
        <v>548</v>
      </c>
      <c r="L678" t="s">
        <v>24</v>
      </c>
      <c r="N678">
        <v>32.590000000000003</v>
      </c>
      <c r="Q678">
        <v>2796</v>
      </c>
      <c r="S678">
        <v>2.8</v>
      </c>
      <c r="U678">
        <v>20</v>
      </c>
      <c r="X678">
        <v>2.3199999999999998</v>
      </c>
      <c r="Z678">
        <v>1.55</v>
      </c>
      <c r="AF678">
        <v>0.12</v>
      </c>
      <c r="AG678">
        <v>1</v>
      </c>
      <c r="AH678">
        <v>32587</v>
      </c>
      <c r="AK678" t="s">
        <v>643</v>
      </c>
      <c r="AL678" t="s">
        <v>597</v>
      </c>
      <c r="AM678">
        <v>580.40440000000001</v>
      </c>
      <c r="AQ678">
        <v>9052</v>
      </c>
      <c r="AW678">
        <v>1051.2</v>
      </c>
      <c r="AY678">
        <v>21024</v>
      </c>
      <c r="AZ678">
        <v>21024000</v>
      </c>
      <c r="BB678">
        <v>0.43</v>
      </c>
      <c r="BD678">
        <v>133</v>
      </c>
    </row>
    <row r="679" spans="1:56">
      <c r="A679" t="s">
        <v>686</v>
      </c>
      <c r="B679" t="s">
        <v>85</v>
      </c>
      <c r="C679">
        <v>2018</v>
      </c>
      <c r="E679">
        <v>2018</v>
      </c>
      <c r="H679">
        <v>3</v>
      </c>
      <c r="I679">
        <v>1</v>
      </c>
      <c r="J679" t="s">
        <v>548</v>
      </c>
      <c r="L679" t="s">
        <v>24</v>
      </c>
      <c r="N679">
        <v>34.619999999999997</v>
      </c>
      <c r="Q679">
        <v>6450</v>
      </c>
      <c r="S679">
        <v>2.15</v>
      </c>
      <c r="U679">
        <v>20</v>
      </c>
      <c r="X679">
        <v>2.37</v>
      </c>
      <c r="Z679">
        <v>1.52</v>
      </c>
      <c r="AF679">
        <v>0.13</v>
      </c>
      <c r="AG679">
        <v>3</v>
      </c>
      <c r="AH679">
        <v>103859</v>
      </c>
      <c r="AK679" t="s">
        <v>643</v>
      </c>
      <c r="AL679" t="s">
        <v>597</v>
      </c>
      <c r="AM679">
        <v>580.40440000000001</v>
      </c>
      <c r="AQ679">
        <v>28849.599999999999</v>
      </c>
      <c r="AW679">
        <v>3416.4</v>
      </c>
      <c r="AY679">
        <v>68328</v>
      </c>
      <c r="AZ679">
        <v>22776000</v>
      </c>
      <c r="BB679">
        <v>0.42</v>
      </c>
      <c r="BD679">
        <v>94.4</v>
      </c>
    </row>
    <row r="680" spans="1:56">
      <c r="A680" t="s">
        <v>686</v>
      </c>
      <c r="B680" t="s">
        <v>85</v>
      </c>
      <c r="C680">
        <v>2018</v>
      </c>
      <c r="E680">
        <v>2018</v>
      </c>
      <c r="H680">
        <v>5</v>
      </c>
      <c r="I680">
        <v>1</v>
      </c>
      <c r="J680" t="s">
        <v>545</v>
      </c>
      <c r="L680" t="s">
        <v>24</v>
      </c>
      <c r="N680">
        <v>25.26</v>
      </c>
      <c r="U680">
        <v>20</v>
      </c>
      <c r="X680">
        <v>3.5</v>
      </c>
      <c r="Z680">
        <v>1.03</v>
      </c>
      <c r="AF680">
        <v>0.14000000000000001</v>
      </c>
      <c r="AG680">
        <v>5</v>
      </c>
      <c r="AH680">
        <v>126319</v>
      </c>
      <c r="AK680" t="s">
        <v>643</v>
      </c>
      <c r="AL680" t="s">
        <v>597</v>
      </c>
      <c r="AM680">
        <v>580.40440000000001</v>
      </c>
      <c r="AQ680">
        <v>35088.699999999997</v>
      </c>
      <c r="AW680">
        <v>6132</v>
      </c>
      <c r="AY680">
        <v>122640</v>
      </c>
      <c r="AZ680">
        <v>24528000</v>
      </c>
      <c r="BB680">
        <v>0.28999999999999998</v>
      </c>
    </row>
    <row r="681" spans="1:56">
      <c r="A681" t="s">
        <v>686</v>
      </c>
      <c r="B681" t="s">
        <v>85</v>
      </c>
      <c r="C681">
        <v>2018</v>
      </c>
      <c r="E681">
        <v>2018</v>
      </c>
      <c r="H681">
        <v>6</v>
      </c>
      <c r="I681">
        <v>1</v>
      </c>
      <c r="J681" t="s">
        <v>545</v>
      </c>
      <c r="L681" t="s">
        <v>24</v>
      </c>
      <c r="N681">
        <v>16.190000000000001</v>
      </c>
      <c r="Q681">
        <v>7840</v>
      </c>
      <c r="S681">
        <v>1.31</v>
      </c>
      <c r="U681">
        <v>20</v>
      </c>
      <c r="X681">
        <v>4.29</v>
      </c>
      <c r="Z681">
        <v>0.84</v>
      </c>
      <c r="AF681">
        <v>0.11</v>
      </c>
      <c r="AG681">
        <v>6</v>
      </c>
      <c r="AH681">
        <v>97131</v>
      </c>
      <c r="AK681" t="s">
        <v>643</v>
      </c>
      <c r="AL681" t="s">
        <v>597</v>
      </c>
      <c r="AM681">
        <v>580.40440000000001</v>
      </c>
      <c r="AQ681">
        <v>26980.799999999999</v>
      </c>
      <c r="AW681">
        <v>5781.6</v>
      </c>
      <c r="AY681">
        <v>115632</v>
      </c>
      <c r="AZ681">
        <v>19272000</v>
      </c>
      <c r="BB681">
        <v>0.23</v>
      </c>
      <c r="BD681">
        <v>67.8</v>
      </c>
    </row>
    <row r="682" spans="1:56">
      <c r="A682" t="s">
        <v>686</v>
      </c>
      <c r="B682" t="s">
        <v>85</v>
      </c>
      <c r="C682">
        <v>2018</v>
      </c>
      <c r="E682">
        <v>2018</v>
      </c>
      <c r="H682">
        <v>20</v>
      </c>
      <c r="I682">
        <v>1</v>
      </c>
      <c r="J682" t="s">
        <v>545</v>
      </c>
      <c r="L682" t="s">
        <v>24</v>
      </c>
      <c r="N682">
        <v>14.59</v>
      </c>
      <c r="Q682">
        <v>25674</v>
      </c>
      <c r="S682">
        <v>1.28</v>
      </c>
      <c r="U682">
        <v>20</v>
      </c>
      <c r="X682">
        <v>7.35</v>
      </c>
      <c r="Z682">
        <v>0.49</v>
      </c>
      <c r="AF682">
        <v>0.17</v>
      </c>
      <c r="AG682">
        <v>20</v>
      </c>
      <c r="AH682">
        <v>291883</v>
      </c>
      <c r="AK682" t="s">
        <v>643</v>
      </c>
      <c r="AL682" t="s">
        <v>597</v>
      </c>
      <c r="AM682">
        <v>580.40440000000001</v>
      </c>
      <c r="AQ682">
        <v>81078.7</v>
      </c>
      <c r="AW682">
        <v>29784</v>
      </c>
      <c r="AY682">
        <v>595680</v>
      </c>
      <c r="AZ682">
        <v>29784000</v>
      </c>
      <c r="BB682">
        <v>0.14000000000000001</v>
      </c>
      <c r="BD682">
        <v>43.1</v>
      </c>
    </row>
    <row r="683" spans="1:56">
      <c r="A683" t="s">
        <v>686</v>
      </c>
      <c r="B683" t="s">
        <v>85</v>
      </c>
      <c r="C683">
        <v>2018</v>
      </c>
      <c r="E683">
        <v>2018</v>
      </c>
      <c r="H683">
        <v>30</v>
      </c>
      <c r="I683">
        <v>1</v>
      </c>
      <c r="J683" t="s">
        <v>545</v>
      </c>
      <c r="L683" t="s">
        <v>24</v>
      </c>
      <c r="N683">
        <v>12.51</v>
      </c>
      <c r="Q683">
        <v>29218</v>
      </c>
      <c r="S683">
        <v>0.97</v>
      </c>
      <c r="U683">
        <v>20</v>
      </c>
      <c r="X683">
        <v>8.57</v>
      </c>
      <c r="Z683">
        <v>0.42</v>
      </c>
      <c r="AF683">
        <v>0.17</v>
      </c>
      <c r="AG683">
        <v>30</v>
      </c>
      <c r="AH683">
        <v>375278</v>
      </c>
      <c r="AK683" t="s">
        <v>643</v>
      </c>
      <c r="AL683" t="s">
        <v>597</v>
      </c>
      <c r="AM683">
        <v>580.40440000000001</v>
      </c>
      <c r="AQ683">
        <v>104244</v>
      </c>
      <c r="AW683">
        <v>44676</v>
      </c>
      <c r="AY683">
        <v>893520</v>
      </c>
      <c r="AZ683">
        <v>29784000</v>
      </c>
      <c r="BB683">
        <v>0.12</v>
      </c>
      <c r="BD683">
        <v>32.700000000000003</v>
      </c>
    </row>
    <row r="684" spans="1:56">
      <c r="A684" t="s">
        <v>686</v>
      </c>
      <c r="B684" t="s">
        <v>85</v>
      </c>
      <c r="C684">
        <v>2018</v>
      </c>
      <c r="E684">
        <v>2018</v>
      </c>
      <c r="H684">
        <v>100</v>
      </c>
      <c r="I684">
        <v>1</v>
      </c>
      <c r="J684" t="s">
        <v>545</v>
      </c>
      <c r="L684" t="s">
        <v>24</v>
      </c>
      <c r="N684">
        <v>12.96</v>
      </c>
      <c r="Q684">
        <v>104069</v>
      </c>
      <c r="S684">
        <v>1.04</v>
      </c>
      <c r="U684">
        <v>20</v>
      </c>
      <c r="X684">
        <v>9.73</v>
      </c>
      <c r="Z684">
        <v>0.37</v>
      </c>
      <c r="AF684">
        <v>0.2</v>
      </c>
      <c r="AG684">
        <v>100</v>
      </c>
      <c r="AH684">
        <v>1296480</v>
      </c>
      <c r="AK684" t="s">
        <v>643</v>
      </c>
      <c r="AL684" t="s">
        <v>597</v>
      </c>
      <c r="AM684">
        <v>580.40440000000001</v>
      </c>
      <c r="AQ684">
        <v>360133.3</v>
      </c>
      <c r="AW684">
        <v>175200</v>
      </c>
      <c r="AY684">
        <v>3504000</v>
      </c>
      <c r="AZ684">
        <v>35040000</v>
      </c>
      <c r="BB684">
        <v>0.1</v>
      </c>
      <c r="BD684">
        <v>29.7</v>
      </c>
    </row>
    <row r="685" spans="1:56">
      <c r="A685" t="s">
        <v>686</v>
      </c>
      <c r="B685" t="s">
        <v>85</v>
      </c>
      <c r="C685">
        <v>2018</v>
      </c>
      <c r="E685">
        <v>2018</v>
      </c>
      <c r="H685">
        <v>500</v>
      </c>
      <c r="I685">
        <v>1</v>
      </c>
      <c r="J685" t="s">
        <v>545</v>
      </c>
      <c r="L685" t="s">
        <v>24</v>
      </c>
      <c r="N685">
        <v>5.47</v>
      </c>
      <c r="Q685">
        <v>210240</v>
      </c>
      <c r="S685">
        <v>0.42</v>
      </c>
      <c r="U685">
        <v>20</v>
      </c>
      <c r="X685">
        <v>27.69</v>
      </c>
      <c r="Z685">
        <v>0.13</v>
      </c>
      <c r="AF685">
        <v>0.24</v>
      </c>
      <c r="AG685">
        <v>500</v>
      </c>
      <c r="AH685">
        <v>2733120</v>
      </c>
      <c r="AK685" t="s">
        <v>643</v>
      </c>
      <c r="AL685" t="s">
        <v>597</v>
      </c>
      <c r="AM685">
        <v>580.40440000000001</v>
      </c>
      <c r="AQ685">
        <v>759200</v>
      </c>
      <c r="AW685">
        <v>1051200</v>
      </c>
      <c r="AY685">
        <v>21024000</v>
      </c>
      <c r="AZ685">
        <v>42048000</v>
      </c>
      <c r="BB685">
        <v>0.04</v>
      </c>
      <c r="BD685">
        <v>10</v>
      </c>
    </row>
    <row r="686" spans="1:56">
      <c r="A686" t="s">
        <v>686</v>
      </c>
      <c r="B686" t="s">
        <v>85</v>
      </c>
      <c r="C686">
        <v>2018</v>
      </c>
      <c r="E686">
        <v>2018</v>
      </c>
      <c r="H686">
        <v>600</v>
      </c>
      <c r="I686">
        <v>1</v>
      </c>
      <c r="J686" t="s">
        <v>545</v>
      </c>
      <c r="L686" t="s">
        <v>24</v>
      </c>
      <c r="N686">
        <v>8.41</v>
      </c>
      <c r="Q686">
        <v>355726</v>
      </c>
      <c r="S686">
        <v>0.59</v>
      </c>
      <c r="U686">
        <v>20</v>
      </c>
      <c r="X686">
        <v>18</v>
      </c>
      <c r="Z686">
        <v>0.2</v>
      </c>
      <c r="AF686">
        <v>0.24</v>
      </c>
      <c r="AG686">
        <v>600</v>
      </c>
      <c r="AH686">
        <v>5045760</v>
      </c>
      <c r="AK686" t="s">
        <v>643</v>
      </c>
      <c r="AL686" t="s">
        <v>597</v>
      </c>
      <c r="AM686">
        <v>580.40440000000001</v>
      </c>
      <c r="AQ686">
        <v>1401600</v>
      </c>
      <c r="AW686">
        <v>1261440</v>
      </c>
      <c r="AY686">
        <v>25228800</v>
      </c>
      <c r="AZ686">
        <v>42048000</v>
      </c>
      <c r="BB686">
        <v>0.06</v>
      </c>
      <c r="BD686">
        <v>14.1</v>
      </c>
    </row>
    <row r="687" spans="1:56">
      <c r="A687" t="s">
        <v>686</v>
      </c>
      <c r="B687" t="s">
        <v>85</v>
      </c>
      <c r="C687">
        <v>2018</v>
      </c>
      <c r="E687">
        <v>2018</v>
      </c>
      <c r="H687">
        <v>660</v>
      </c>
      <c r="I687">
        <v>1</v>
      </c>
      <c r="J687" t="s">
        <v>545</v>
      </c>
      <c r="L687" t="s">
        <v>24</v>
      </c>
      <c r="N687">
        <v>5.69</v>
      </c>
      <c r="Q687">
        <v>269423</v>
      </c>
      <c r="S687">
        <v>0.41</v>
      </c>
      <c r="U687">
        <v>20</v>
      </c>
      <c r="X687">
        <v>27.69</v>
      </c>
      <c r="Z687">
        <v>0.13</v>
      </c>
      <c r="AF687">
        <v>0.25</v>
      </c>
      <c r="AG687">
        <v>660</v>
      </c>
      <c r="AH687">
        <v>3758040</v>
      </c>
      <c r="AK687" t="s">
        <v>643</v>
      </c>
      <c r="AL687" t="s">
        <v>597</v>
      </c>
      <c r="AM687">
        <v>580.40440000000001</v>
      </c>
      <c r="AQ687">
        <v>1043900</v>
      </c>
      <c r="AW687">
        <v>1445400</v>
      </c>
      <c r="AY687">
        <v>28908000</v>
      </c>
      <c r="AZ687">
        <v>43800000</v>
      </c>
      <c r="BB687">
        <v>0.04</v>
      </c>
      <c r="BD687">
        <v>9.32</v>
      </c>
    </row>
    <row r="688" spans="1:56">
      <c r="A688" t="s">
        <v>686</v>
      </c>
      <c r="B688" t="s">
        <v>85</v>
      </c>
      <c r="C688">
        <v>2018</v>
      </c>
      <c r="E688">
        <v>2018</v>
      </c>
      <c r="H688">
        <v>750</v>
      </c>
      <c r="I688">
        <v>1</v>
      </c>
      <c r="J688" t="s">
        <v>545</v>
      </c>
      <c r="L688" t="s">
        <v>24</v>
      </c>
      <c r="N688">
        <v>6.57</v>
      </c>
      <c r="Q688">
        <v>338355</v>
      </c>
      <c r="S688">
        <v>0.45</v>
      </c>
      <c r="U688">
        <v>20</v>
      </c>
      <c r="X688">
        <v>24</v>
      </c>
      <c r="Z688">
        <v>0.15</v>
      </c>
      <c r="AF688">
        <v>0.25</v>
      </c>
      <c r="AG688">
        <v>750</v>
      </c>
      <c r="AH688">
        <v>4927500</v>
      </c>
      <c r="AK688" t="s">
        <v>643</v>
      </c>
      <c r="AL688" t="s">
        <v>597</v>
      </c>
      <c r="AM688">
        <v>580.40440000000001</v>
      </c>
      <c r="AQ688">
        <v>1368750</v>
      </c>
      <c r="AW688">
        <v>1642500</v>
      </c>
      <c r="AY688">
        <v>32850000</v>
      </c>
      <c r="AZ688">
        <v>43800000</v>
      </c>
      <c r="BB688">
        <v>0.04</v>
      </c>
      <c r="BD688">
        <v>10.3</v>
      </c>
    </row>
    <row r="689" spans="1:56">
      <c r="A689" t="s">
        <v>686</v>
      </c>
      <c r="B689" t="s">
        <v>85</v>
      </c>
      <c r="C689">
        <v>2018</v>
      </c>
      <c r="E689">
        <v>2018</v>
      </c>
      <c r="H689">
        <v>850</v>
      </c>
      <c r="I689">
        <v>1</v>
      </c>
      <c r="J689" t="s">
        <v>545</v>
      </c>
      <c r="L689" t="s">
        <v>24</v>
      </c>
      <c r="N689">
        <v>5.26</v>
      </c>
      <c r="Q689">
        <v>339538</v>
      </c>
      <c r="S689">
        <v>0.4</v>
      </c>
      <c r="U689">
        <v>20</v>
      </c>
      <c r="X689">
        <v>30</v>
      </c>
      <c r="Z689">
        <v>0.12</v>
      </c>
      <c r="AF689">
        <v>0.25</v>
      </c>
      <c r="AG689">
        <v>850</v>
      </c>
      <c r="AH689">
        <v>4467600</v>
      </c>
      <c r="AK689" t="s">
        <v>643</v>
      </c>
      <c r="AL689" t="s">
        <v>597</v>
      </c>
      <c r="AM689">
        <v>580.40440000000001</v>
      </c>
      <c r="AQ689">
        <v>1241000</v>
      </c>
      <c r="AW689">
        <v>1861500</v>
      </c>
      <c r="AY689">
        <v>37230000</v>
      </c>
      <c r="AZ689">
        <v>43800000</v>
      </c>
      <c r="BB689">
        <v>0.03</v>
      </c>
      <c r="BD689">
        <v>9.1199999999999992</v>
      </c>
    </row>
    <row r="690" spans="1:56">
      <c r="A690" t="s">
        <v>686</v>
      </c>
      <c r="B690" t="s">
        <v>85</v>
      </c>
      <c r="C690">
        <v>2018</v>
      </c>
      <c r="E690">
        <v>2018</v>
      </c>
      <c r="H690">
        <v>1250</v>
      </c>
      <c r="I690">
        <v>1</v>
      </c>
      <c r="J690" t="s">
        <v>545</v>
      </c>
      <c r="L690" t="s">
        <v>24</v>
      </c>
      <c r="N690">
        <v>4.7300000000000004</v>
      </c>
      <c r="Q690">
        <v>417458</v>
      </c>
      <c r="S690">
        <v>0.33</v>
      </c>
      <c r="U690">
        <v>20</v>
      </c>
      <c r="X690">
        <v>36</v>
      </c>
      <c r="Z690">
        <v>0.1</v>
      </c>
      <c r="AF690">
        <v>0.27</v>
      </c>
      <c r="AG690">
        <v>1250</v>
      </c>
      <c r="AH690">
        <v>5913000</v>
      </c>
      <c r="AK690" t="s">
        <v>643</v>
      </c>
      <c r="AL690" t="s">
        <v>597</v>
      </c>
      <c r="AM690">
        <v>580.40440000000001</v>
      </c>
      <c r="AQ690">
        <v>1642500</v>
      </c>
      <c r="AW690">
        <v>2956500</v>
      </c>
      <c r="AY690">
        <v>59130000</v>
      </c>
      <c r="AZ690">
        <v>47304000</v>
      </c>
      <c r="BB690">
        <v>0.03</v>
      </c>
      <c r="BD690">
        <v>7.06</v>
      </c>
    </row>
    <row r="691" spans="1:56">
      <c r="A691" t="s">
        <v>686</v>
      </c>
      <c r="B691" t="s">
        <v>85</v>
      </c>
      <c r="C691">
        <v>2018</v>
      </c>
      <c r="E691">
        <v>2018</v>
      </c>
      <c r="H691">
        <v>1800</v>
      </c>
      <c r="I691">
        <v>1</v>
      </c>
      <c r="J691" t="s">
        <v>545</v>
      </c>
      <c r="L691" t="s">
        <v>24</v>
      </c>
      <c r="N691">
        <v>5.4</v>
      </c>
      <c r="Q691">
        <v>626053</v>
      </c>
      <c r="S691">
        <v>0.35</v>
      </c>
      <c r="U691">
        <v>20</v>
      </c>
      <c r="X691">
        <v>32.729999999999997</v>
      </c>
      <c r="Z691">
        <v>0.11</v>
      </c>
      <c r="AF691">
        <v>0.28000000000000003</v>
      </c>
      <c r="AG691">
        <v>1800</v>
      </c>
      <c r="AH691">
        <v>9713088</v>
      </c>
      <c r="AK691" t="s">
        <v>643</v>
      </c>
      <c r="AL691" t="s">
        <v>597</v>
      </c>
      <c r="AM691">
        <v>580.40440000000001</v>
      </c>
      <c r="AQ691">
        <v>2698080</v>
      </c>
      <c r="AW691">
        <v>4415040</v>
      </c>
      <c r="AY691">
        <v>88300800</v>
      </c>
      <c r="AZ691">
        <v>49056000</v>
      </c>
      <c r="BB691">
        <v>0.03</v>
      </c>
      <c r="BD691">
        <v>7.09</v>
      </c>
    </row>
    <row r="692" spans="1:56">
      <c r="A692" t="s">
        <v>686</v>
      </c>
      <c r="B692" t="s">
        <v>85</v>
      </c>
      <c r="C692">
        <v>2018</v>
      </c>
      <c r="E692">
        <v>2018</v>
      </c>
      <c r="H692">
        <v>2000</v>
      </c>
      <c r="I692">
        <v>1</v>
      </c>
      <c r="J692" t="s">
        <v>545</v>
      </c>
      <c r="L692" t="s">
        <v>24</v>
      </c>
      <c r="N692">
        <v>5.4</v>
      </c>
      <c r="Q692">
        <v>752519</v>
      </c>
      <c r="S692">
        <v>0.38</v>
      </c>
      <c r="U692">
        <v>20</v>
      </c>
      <c r="X692">
        <v>32.729999999999997</v>
      </c>
      <c r="Z692">
        <v>0.11</v>
      </c>
      <c r="AF692">
        <v>0.28000000000000003</v>
      </c>
      <c r="AG692">
        <v>2000</v>
      </c>
      <c r="AH692">
        <v>10792320</v>
      </c>
      <c r="AK692" t="s">
        <v>643</v>
      </c>
      <c r="AL692" t="s">
        <v>597</v>
      </c>
      <c r="AM692">
        <v>580.40440000000001</v>
      </c>
      <c r="AQ692">
        <v>2997866.7</v>
      </c>
      <c r="AW692">
        <v>4905600</v>
      </c>
      <c r="AY692">
        <v>98112000</v>
      </c>
      <c r="AZ692">
        <v>49056000</v>
      </c>
      <c r="BB692">
        <v>0.03</v>
      </c>
      <c r="BD692">
        <v>7.67</v>
      </c>
    </row>
    <row r="693" spans="1:56">
      <c r="A693" t="s">
        <v>686</v>
      </c>
      <c r="B693" t="s">
        <v>85</v>
      </c>
      <c r="C693">
        <v>2018</v>
      </c>
      <c r="E693">
        <v>2018</v>
      </c>
      <c r="H693">
        <v>2000</v>
      </c>
      <c r="I693">
        <v>1</v>
      </c>
      <c r="J693" t="s">
        <v>545</v>
      </c>
      <c r="L693" t="s">
        <v>24</v>
      </c>
      <c r="N693">
        <v>8.34</v>
      </c>
      <c r="Q693">
        <v>1147910</v>
      </c>
      <c r="S693">
        <v>0.56999999999999995</v>
      </c>
      <c r="U693">
        <v>20</v>
      </c>
      <c r="X693">
        <v>21.18</v>
      </c>
      <c r="Z693">
        <v>0.17</v>
      </c>
      <c r="AF693">
        <v>0.28000000000000003</v>
      </c>
      <c r="AG693">
        <v>2000</v>
      </c>
      <c r="AH693">
        <v>16679040</v>
      </c>
      <c r="AK693" t="s">
        <v>643</v>
      </c>
      <c r="AL693" t="s">
        <v>597</v>
      </c>
      <c r="AM693">
        <v>580.40440000000001</v>
      </c>
      <c r="AQ693">
        <v>4633066.7</v>
      </c>
      <c r="AW693">
        <v>4905600</v>
      </c>
      <c r="AY693">
        <v>98112000</v>
      </c>
      <c r="AZ693">
        <v>49056000</v>
      </c>
      <c r="BB693">
        <v>0.05</v>
      </c>
      <c r="BD693">
        <v>11.7</v>
      </c>
    </row>
    <row r="694" spans="1:56">
      <c r="A694" t="s">
        <v>686</v>
      </c>
      <c r="B694" t="s">
        <v>85</v>
      </c>
      <c r="C694">
        <v>2018</v>
      </c>
      <c r="E694">
        <v>2018</v>
      </c>
      <c r="H694">
        <v>2000</v>
      </c>
      <c r="I694">
        <v>1</v>
      </c>
      <c r="J694" t="s">
        <v>545</v>
      </c>
      <c r="L694" t="s">
        <v>24</v>
      </c>
      <c r="N694">
        <v>5.89</v>
      </c>
      <c r="Q694">
        <v>816292</v>
      </c>
      <c r="S694">
        <v>0.41</v>
      </c>
      <c r="U694">
        <v>20</v>
      </c>
      <c r="X694">
        <v>30</v>
      </c>
      <c r="Z694">
        <v>0.12</v>
      </c>
      <c r="AF694">
        <v>0.28000000000000003</v>
      </c>
      <c r="AG694">
        <v>2000</v>
      </c>
      <c r="AH694">
        <v>11773440</v>
      </c>
      <c r="AK694" t="s">
        <v>643</v>
      </c>
      <c r="AL694" t="s">
        <v>597</v>
      </c>
      <c r="AM694">
        <v>580.40440000000001</v>
      </c>
      <c r="AQ694">
        <v>3270400</v>
      </c>
      <c r="AW694">
        <v>4905600</v>
      </c>
      <c r="AY694">
        <v>98112000</v>
      </c>
      <c r="AZ694">
        <v>49056000</v>
      </c>
      <c r="BB694">
        <v>0.03</v>
      </c>
      <c r="BD694">
        <v>8.32</v>
      </c>
    </row>
    <row r="695" spans="1:56">
      <c r="A695" t="s">
        <v>686</v>
      </c>
      <c r="B695" t="s">
        <v>85</v>
      </c>
      <c r="C695">
        <v>2018</v>
      </c>
      <c r="E695">
        <v>2018</v>
      </c>
      <c r="H695">
        <v>2000</v>
      </c>
      <c r="I695">
        <v>1</v>
      </c>
      <c r="J695" t="s">
        <v>545</v>
      </c>
      <c r="L695" t="s">
        <v>24</v>
      </c>
      <c r="N695">
        <v>5.4</v>
      </c>
      <c r="Q695">
        <v>742708</v>
      </c>
      <c r="S695">
        <v>0.37</v>
      </c>
      <c r="U695">
        <v>20</v>
      </c>
      <c r="X695">
        <v>32.729999999999997</v>
      </c>
      <c r="Z695">
        <v>0.11</v>
      </c>
      <c r="AF695">
        <v>0.28000000000000003</v>
      </c>
      <c r="AG695">
        <v>2000</v>
      </c>
      <c r="AH695">
        <v>10792320</v>
      </c>
      <c r="AK695" t="s">
        <v>643</v>
      </c>
      <c r="AL695" t="s">
        <v>597</v>
      </c>
      <c r="AM695">
        <v>580.40440000000001</v>
      </c>
      <c r="AQ695">
        <v>2997866.7</v>
      </c>
      <c r="AW695">
        <v>4905600</v>
      </c>
      <c r="AY695">
        <v>98112000</v>
      </c>
      <c r="AZ695">
        <v>49056000</v>
      </c>
      <c r="BB695">
        <v>0.03</v>
      </c>
      <c r="BD695">
        <v>7.57</v>
      </c>
    </row>
    <row r="696" spans="1:56">
      <c r="A696" t="s">
        <v>686</v>
      </c>
      <c r="B696" t="s">
        <v>85</v>
      </c>
      <c r="C696">
        <v>2018</v>
      </c>
      <c r="E696">
        <v>2018</v>
      </c>
      <c r="H696">
        <v>2000</v>
      </c>
      <c r="I696">
        <v>1</v>
      </c>
      <c r="J696" t="s">
        <v>545</v>
      </c>
      <c r="L696" t="s">
        <v>24</v>
      </c>
      <c r="N696">
        <v>5.4</v>
      </c>
      <c r="Q696">
        <v>739764</v>
      </c>
      <c r="S696">
        <v>0.37</v>
      </c>
      <c r="U696">
        <v>20</v>
      </c>
      <c r="X696">
        <v>32.729999999999997</v>
      </c>
      <c r="Z696">
        <v>0.11</v>
      </c>
      <c r="AF696">
        <v>0.28000000000000003</v>
      </c>
      <c r="AG696">
        <v>2000</v>
      </c>
      <c r="AH696">
        <v>10792320</v>
      </c>
      <c r="AK696" t="s">
        <v>643</v>
      </c>
      <c r="AL696" t="s">
        <v>597</v>
      </c>
      <c r="AM696">
        <v>580.40440000000001</v>
      </c>
      <c r="AQ696">
        <v>2997866.7</v>
      </c>
      <c r="AW696">
        <v>4905600</v>
      </c>
      <c r="AY696">
        <v>98112000</v>
      </c>
      <c r="AZ696">
        <v>49056000</v>
      </c>
      <c r="BB696">
        <v>0.03</v>
      </c>
      <c r="BD696">
        <v>7.54</v>
      </c>
    </row>
    <row r="697" spans="1:56">
      <c r="A697" t="s">
        <v>686</v>
      </c>
      <c r="B697" t="s">
        <v>85</v>
      </c>
      <c r="C697">
        <v>2018</v>
      </c>
      <c r="E697">
        <v>2018</v>
      </c>
      <c r="H697">
        <v>3000</v>
      </c>
      <c r="I697">
        <v>1</v>
      </c>
      <c r="J697" t="s">
        <v>545</v>
      </c>
      <c r="L697" t="s">
        <v>24</v>
      </c>
      <c r="N697">
        <v>4.0599999999999996</v>
      </c>
      <c r="Q697">
        <v>917592</v>
      </c>
      <c r="S697">
        <v>0.31</v>
      </c>
      <c r="U697">
        <v>20</v>
      </c>
      <c r="X697">
        <v>45</v>
      </c>
      <c r="Z697">
        <v>0.08</v>
      </c>
      <c r="AF697">
        <v>0.28999999999999998</v>
      </c>
      <c r="AG697">
        <v>3000</v>
      </c>
      <c r="AH697">
        <v>12193920</v>
      </c>
      <c r="AK697" t="s">
        <v>643</v>
      </c>
      <c r="AL697" t="s">
        <v>597</v>
      </c>
      <c r="AM697">
        <v>580.40440000000001</v>
      </c>
      <c r="AQ697">
        <v>3387200</v>
      </c>
      <c r="AW697">
        <v>7621200</v>
      </c>
      <c r="AY697">
        <v>152424000</v>
      </c>
      <c r="AZ697">
        <v>50808000</v>
      </c>
      <c r="BB697">
        <v>0.02</v>
      </c>
      <c r="BD697">
        <v>6.02</v>
      </c>
    </row>
    <row r="698" spans="1:56">
      <c r="A698" t="s">
        <v>685</v>
      </c>
      <c r="B698" t="s">
        <v>34</v>
      </c>
      <c r="C698">
        <v>2018</v>
      </c>
      <c r="E698">
        <v>2018</v>
      </c>
      <c r="H698">
        <v>1500</v>
      </c>
      <c r="I698">
        <v>1</v>
      </c>
      <c r="J698" t="s">
        <v>545</v>
      </c>
      <c r="L698" t="s">
        <v>24</v>
      </c>
      <c r="Q698">
        <v>806270</v>
      </c>
      <c r="S698">
        <v>0.54</v>
      </c>
      <c r="U698">
        <v>20</v>
      </c>
      <c r="AE698">
        <v>70</v>
      </c>
      <c r="AF698">
        <v>0.26</v>
      </c>
      <c r="AG698">
        <v>1500</v>
      </c>
      <c r="AK698" t="s">
        <v>643</v>
      </c>
      <c r="AL698" t="s">
        <v>597</v>
      </c>
      <c r="AM698">
        <v>580.40440000000001</v>
      </c>
      <c r="AW698">
        <v>3416400</v>
      </c>
      <c r="AY698">
        <v>68328000</v>
      </c>
      <c r="AZ698">
        <v>45552000</v>
      </c>
      <c r="BD698">
        <v>11.8</v>
      </c>
    </row>
    <row r="699" spans="1:56">
      <c r="A699" t="s">
        <v>684</v>
      </c>
      <c r="B699" t="s">
        <v>162</v>
      </c>
      <c r="C699">
        <v>2018</v>
      </c>
      <c r="E699">
        <v>2018</v>
      </c>
      <c r="H699">
        <v>2000</v>
      </c>
      <c r="I699">
        <v>1</v>
      </c>
      <c r="J699" t="s">
        <v>545</v>
      </c>
      <c r="L699" t="s">
        <v>24</v>
      </c>
      <c r="U699">
        <v>20</v>
      </c>
      <c r="AF699">
        <v>0.35</v>
      </c>
      <c r="AG699">
        <v>2000</v>
      </c>
      <c r="AK699" t="s">
        <v>643</v>
      </c>
      <c r="AL699" t="s">
        <v>597</v>
      </c>
      <c r="AM699">
        <v>580.40440000000001</v>
      </c>
      <c r="AW699">
        <v>6132000</v>
      </c>
      <c r="AY699">
        <v>122640000</v>
      </c>
      <c r="AZ699">
        <v>61320000</v>
      </c>
    </row>
    <row r="700" spans="1:56">
      <c r="A700" t="s">
        <v>684</v>
      </c>
      <c r="B700" t="s">
        <v>162</v>
      </c>
      <c r="C700">
        <v>2018</v>
      </c>
      <c r="E700">
        <v>2018</v>
      </c>
      <c r="H700">
        <v>2000</v>
      </c>
      <c r="I700">
        <v>1</v>
      </c>
      <c r="J700" t="s">
        <v>545</v>
      </c>
      <c r="L700" t="s">
        <v>24</v>
      </c>
      <c r="U700">
        <v>20</v>
      </c>
      <c r="AF700">
        <v>0.35</v>
      </c>
      <c r="AG700">
        <v>2000</v>
      </c>
      <c r="AK700" t="s">
        <v>643</v>
      </c>
      <c r="AL700" t="s">
        <v>597</v>
      </c>
      <c r="AM700">
        <v>580.40440000000001</v>
      </c>
      <c r="AW700">
        <v>6132000</v>
      </c>
      <c r="AY700">
        <v>122640000</v>
      </c>
      <c r="AZ700">
        <v>61320000</v>
      </c>
    </row>
    <row r="701" spans="1:56">
      <c r="A701" t="s">
        <v>683</v>
      </c>
      <c r="B701" t="s">
        <v>403</v>
      </c>
      <c r="C701">
        <v>2018</v>
      </c>
      <c r="E701">
        <v>2018</v>
      </c>
      <c r="H701">
        <v>3600</v>
      </c>
      <c r="I701">
        <v>1</v>
      </c>
      <c r="J701" t="s">
        <v>545</v>
      </c>
      <c r="L701" t="s">
        <v>31</v>
      </c>
      <c r="Q701">
        <v>5620346</v>
      </c>
      <c r="S701">
        <v>1.56</v>
      </c>
      <c r="U701">
        <v>25</v>
      </c>
      <c r="AE701">
        <v>116</v>
      </c>
      <c r="AF701">
        <v>0.28000000000000003</v>
      </c>
      <c r="AG701">
        <v>3600</v>
      </c>
      <c r="AK701" t="s">
        <v>643</v>
      </c>
      <c r="AL701" t="s">
        <v>597</v>
      </c>
      <c r="AM701">
        <v>580.40440000000001</v>
      </c>
      <c r="AW701">
        <v>8830080</v>
      </c>
      <c r="AY701">
        <v>220752000</v>
      </c>
      <c r="AZ701">
        <v>61320000</v>
      </c>
      <c r="BD701">
        <v>25.46</v>
      </c>
    </row>
    <row r="702" spans="1:56">
      <c r="A702" t="s">
        <v>682</v>
      </c>
      <c r="B702" t="s">
        <v>532</v>
      </c>
      <c r="C702">
        <v>2018</v>
      </c>
      <c r="E702">
        <v>2018</v>
      </c>
      <c r="H702">
        <v>2000</v>
      </c>
      <c r="I702">
        <v>1</v>
      </c>
      <c r="J702" t="s">
        <v>545</v>
      </c>
      <c r="L702" t="s">
        <v>24</v>
      </c>
      <c r="N702">
        <v>7.85</v>
      </c>
      <c r="Q702">
        <v>1000742</v>
      </c>
      <c r="S702">
        <v>0.5</v>
      </c>
      <c r="U702">
        <v>20</v>
      </c>
      <c r="X702">
        <v>45</v>
      </c>
      <c r="Z702">
        <v>0.08</v>
      </c>
      <c r="AE702">
        <v>116</v>
      </c>
      <c r="AF702">
        <v>0.56000000000000005</v>
      </c>
      <c r="AG702">
        <v>2000</v>
      </c>
      <c r="AH702">
        <v>15697920</v>
      </c>
      <c r="AK702" t="s">
        <v>643</v>
      </c>
      <c r="AL702" t="s">
        <v>597</v>
      </c>
      <c r="AM702">
        <v>580.40440000000001</v>
      </c>
      <c r="AQ702">
        <v>4360533.3</v>
      </c>
      <c r="AW702">
        <v>9811200</v>
      </c>
      <c r="AY702">
        <v>196224000</v>
      </c>
      <c r="AZ702">
        <v>98112000</v>
      </c>
      <c r="BB702">
        <v>0.02</v>
      </c>
      <c r="BD702">
        <v>5.0999999999999996</v>
      </c>
    </row>
    <row r="703" spans="1:56">
      <c r="A703" t="s">
        <v>681</v>
      </c>
      <c r="B703" t="s">
        <v>530</v>
      </c>
      <c r="C703">
        <v>2018</v>
      </c>
      <c r="E703">
        <v>2018</v>
      </c>
      <c r="H703">
        <v>5000</v>
      </c>
      <c r="I703">
        <v>1</v>
      </c>
      <c r="J703" t="s">
        <v>545</v>
      </c>
      <c r="L703" t="s">
        <v>24</v>
      </c>
      <c r="Q703">
        <v>3231914</v>
      </c>
      <c r="S703">
        <v>0.65</v>
      </c>
      <c r="U703">
        <v>20</v>
      </c>
      <c r="AE703">
        <v>132</v>
      </c>
      <c r="AF703">
        <v>0.43</v>
      </c>
      <c r="AG703">
        <v>5000</v>
      </c>
      <c r="AK703" t="s">
        <v>643</v>
      </c>
      <c r="AL703" t="s">
        <v>597</v>
      </c>
      <c r="AM703">
        <v>580.40440000000001</v>
      </c>
      <c r="AW703">
        <v>18834000</v>
      </c>
      <c r="AY703">
        <v>376680000</v>
      </c>
      <c r="AZ703">
        <v>75336000</v>
      </c>
      <c r="BD703">
        <v>8.58</v>
      </c>
    </row>
    <row r="704" spans="1:56">
      <c r="A704" t="s">
        <v>681</v>
      </c>
      <c r="B704" t="s">
        <v>530</v>
      </c>
      <c r="C704">
        <v>2018</v>
      </c>
      <c r="E704">
        <v>2018</v>
      </c>
      <c r="H704">
        <v>5000</v>
      </c>
      <c r="I704">
        <v>1</v>
      </c>
      <c r="J704" t="s">
        <v>545</v>
      </c>
      <c r="L704" t="s">
        <v>24</v>
      </c>
      <c r="Q704">
        <v>3381360</v>
      </c>
      <c r="S704">
        <v>0.68</v>
      </c>
      <c r="U704">
        <v>20</v>
      </c>
      <c r="AE704">
        <v>128</v>
      </c>
      <c r="AF704">
        <v>0.4</v>
      </c>
      <c r="AG704">
        <v>5000</v>
      </c>
      <c r="AK704" t="s">
        <v>643</v>
      </c>
      <c r="AL704" t="s">
        <v>597</v>
      </c>
      <c r="AM704">
        <v>580.40440000000001</v>
      </c>
      <c r="AW704">
        <v>17520000</v>
      </c>
      <c r="AY704">
        <v>350400000</v>
      </c>
      <c r="AZ704">
        <v>70080000</v>
      </c>
      <c r="BD704">
        <v>9.65</v>
      </c>
    </row>
    <row r="705" spans="1:57">
      <c r="A705" t="s">
        <v>680</v>
      </c>
      <c r="B705" t="s">
        <v>531</v>
      </c>
      <c r="C705">
        <v>2018</v>
      </c>
      <c r="E705">
        <v>2018</v>
      </c>
      <c r="H705">
        <v>3200</v>
      </c>
      <c r="I705">
        <v>1</v>
      </c>
      <c r="J705" t="s">
        <v>545</v>
      </c>
      <c r="L705" t="s">
        <v>24</v>
      </c>
      <c r="Q705">
        <v>1031578</v>
      </c>
      <c r="S705">
        <v>0.32</v>
      </c>
      <c r="U705">
        <v>20</v>
      </c>
      <c r="AE705">
        <v>113</v>
      </c>
      <c r="AF705">
        <v>0.46</v>
      </c>
      <c r="AG705">
        <v>3200</v>
      </c>
      <c r="AK705" t="s">
        <v>643</v>
      </c>
      <c r="AL705" t="s">
        <v>597</v>
      </c>
      <c r="AM705">
        <v>580.40440000000001</v>
      </c>
      <c r="AW705">
        <v>12894720</v>
      </c>
      <c r="AY705">
        <v>257894400</v>
      </c>
      <c r="AZ705">
        <v>80592000</v>
      </c>
      <c r="BD705">
        <v>4</v>
      </c>
    </row>
    <row r="706" spans="1:57">
      <c r="A706" t="s">
        <v>680</v>
      </c>
      <c r="B706" t="s">
        <v>531</v>
      </c>
      <c r="C706">
        <v>2018</v>
      </c>
      <c r="E706">
        <v>2018</v>
      </c>
      <c r="H706">
        <v>6000</v>
      </c>
      <c r="I706">
        <v>1</v>
      </c>
      <c r="J706" t="s">
        <v>545</v>
      </c>
      <c r="L706" t="s">
        <v>31</v>
      </c>
      <c r="Q706">
        <v>4599000</v>
      </c>
      <c r="S706">
        <v>0.77</v>
      </c>
      <c r="U706">
        <v>25</v>
      </c>
      <c r="AE706">
        <v>154</v>
      </c>
      <c r="AF706">
        <v>0.5</v>
      </c>
      <c r="AG706">
        <v>6000</v>
      </c>
      <c r="AK706" t="s">
        <v>643</v>
      </c>
      <c r="AL706" t="s">
        <v>597</v>
      </c>
      <c r="AM706">
        <v>580.40440000000001</v>
      </c>
      <c r="AW706">
        <v>26280000</v>
      </c>
      <c r="AY706">
        <v>657000000</v>
      </c>
      <c r="AZ706">
        <v>109500000</v>
      </c>
      <c r="BD706">
        <v>7</v>
      </c>
    </row>
    <row r="707" spans="1:57">
      <c r="A707" t="s">
        <v>680</v>
      </c>
      <c r="B707" t="s">
        <v>531</v>
      </c>
      <c r="C707">
        <v>2018</v>
      </c>
      <c r="E707">
        <v>2018</v>
      </c>
      <c r="H707">
        <v>7000</v>
      </c>
      <c r="I707">
        <v>1</v>
      </c>
      <c r="J707" t="s">
        <v>545</v>
      </c>
      <c r="L707" t="s">
        <v>31</v>
      </c>
      <c r="Q707">
        <v>4323060</v>
      </c>
      <c r="S707">
        <v>0.62</v>
      </c>
      <c r="U707">
        <v>25</v>
      </c>
      <c r="AE707">
        <v>154</v>
      </c>
      <c r="AF707">
        <v>0.47</v>
      </c>
      <c r="AG707">
        <v>7000</v>
      </c>
      <c r="AK707" t="s">
        <v>643</v>
      </c>
      <c r="AL707" t="s">
        <v>597</v>
      </c>
      <c r="AM707">
        <v>580.40440000000001</v>
      </c>
      <c r="AW707">
        <v>28820400</v>
      </c>
      <c r="AY707">
        <v>720510000</v>
      </c>
      <c r="AZ707">
        <v>102930000</v>
      </c>
      <c r="BD707">
        <v>6</v>
      </c>
    </row>
    <row r="708" spans="1:57">
      <c r="A708" t="s">
        <v>726</v>
      </c>
      <c r="B708" t="s">
        <v>26</v>
      </c>
      <c r="C708">
        <v>2019</v>
      </c>
      <c r="E708">
        <v>2019</v>
      </c>
      <c r="F708" t="s">
        <v>27</v>
      </c>
      <c r="G708" t="s">
        <v>19</v>
      </c>
      <c r="H708">
        <v>1500</v>
      </c>
      <c r="I708">
        <v>33</v>
      </c>
      <c r="L708" t="s">
        <v>24</v>
      </c>
      <c r="Q708">
        <v>58687200</v>
      </c>
      <c r="S708">
        <v>1.19</v>
      </c>
      <c r="U708">
        <v>20</v>
      </c>
      <c r="AD708" t="s">
        <v>28</v>
      </c>
      <c r="AF708">
        <v>0.23661270200000001</v>
      </c>
      <c r="AG708">
        <v>49500</v>
      </c>
      <c r="AK708" t="s">
        <v>709</v>
      </c>
      <c r="AL708" t="s">
        <v>597</v>
      </c>
      <c r="AM708">
        <v>643.43574999999998</v>
      </c>
      <c r="AW708">
        <v>102600000</v>
      </c>
      <c r="AY708">
        <v>2052000000</v>
      </c>
      <c r="AZ708">
        <v>41454545.454545498</v>
      </c>
      <c r="BD708">
        <v>28.6</v>
      </c>
      <c r="BE708">
        <v>3.2</v>
      </c>
    </row>
    <row r="709" spans="1:57">
      <c r="A709" t="s">
        <v>762</v>
      </c>
      <c r="B709" t="s">
        <v>83</v>
      </c>
      <c r="C709">
        <v>2019</v>
      </c>
      <c r="E709">
        <v>2019</v>
      </c>
      <c r="F709" t="s">
        <v>27</v>
      </c>
      <c r="G709" t="s">
        <v>19</v>
      </c>
      <c r="Q709">
        <v>69227460</v>
      </c>
      <c r="U709">
        <v>20</v>
      </c>
      <c r="AD709" t="s">
        <v>84</v>
      </c>
      <c r="AK709" t="s">
        <v>709</v>
      </c>
      <c r="AL709" t="s">
        <v>597</v>
      </c>
      <c r="AM709">
        <v>643.43574999999998</v>
      </c>
      <c r="AW709">
        <v>407700000</v>
      </c>
      <c r="AY709">
        <v>8154000000</v>
      </c>
      <c r="BD709">
        <v>8.49</v>
      </c>
    </row>
    <row r="710" spans="1:57">
      <c r="A710" t="s">
        <v>755</v>
      </c>
      <c r="B710" t="s">
        <v>134</v>
      </c>
      <c r="C710">
        <v>2019</v>
      </c>
      <c r="E710">
        <v>2019</v>
      </c>
      <c r="F710" t="s">
        <v>27</v>
      </c>
      <c r="H710">
        <v>3000</v>
      </c>
      <c r="I710">
        <v>1</v>
      </c>
      <c r="J710" t="s">
        <v>135</v>
      </c>
      <c r="L710" t="s">
        <v>24</v>
      </c>
      <c r="M710">
        <v>84</v>
      </c>
      <c r="Q710">
        <v>1954742</v>
      </c>
      <c r="S710">
        <v>0.65</v>
      </c>
      <c r="U710">
        <v>20</v>
      </c>
      <c r="AB710" t="s">
        <v>136</v>
      </c>
      <c r="AD710" t="s">
        <v>33</v>
      </c>
      <c r="AF710">
        <v>0.29920091300000001</v>
      </c>
      <c r="AG710">
        <v>3000</v>
      </c>
      <c r="AK710" t="s">
        <v>709</v>
      </c>
      <c r="AL710" t="s">
        <v>597</v>
      </c>
      <c r="AM710">
        <v>643.43574999999998</v>
      </c>
      <c r="AO710" t="s">
        <v>35</v>
      </c>
      <c r="AW710">
        <v>7863000</v>
      </c>
      <c r="AY710">
        <v>157260000</v>
      </c>
      <c r="AZ710">
        <v>52420000</v>
      </c>
      <c r="BD710">
        <v>12.43</v>
      </c>
    </row>
    <row r="711" spans="1:57">
      <c r="A711" t="s">
        <v>755</v>
      </c>
      <c r="B711" t="s">
        <v>134</v>
      </c>
      <c r="C711">
        <v>2019</v>
      </c>
      <c r="E711">
        <v>2019</v>
      </c>
      <c r="F711" t="s">
        <v>27</v>
      </c>
      <c r="H711">
        <v>3000</v>
      </c>
      <c r="I711">
        <v>1</v>
      </c>
      <c r="J711" t="s">
        <v>137</v>
      </c>
      <c r="L711" t="s">
        <v>24</v>
      </c>
      <c r="M711">
        <v>84</v>
      </c>
      <c r="Q711">
        <v>1140135</v>
      </c>
      <c r="S711">
        <v>0.38</v>
      </c>
      <c r="U711">
        <v>20</v>
      </c>
      <c r="AB711" t="s">
        <v>138</v>
      </c>
      <c r="AD711" t="s">
        <v>33</v>
      </c>
      <c r="AF711">
        <v>0.29920091300000001</v>
      </c>
      <c r="AG711">
        <v>3000</v>
      </c>
      <c r="AK711" t="s">
        <v>709</v>
      </c>
      <c r="AL711" t="s">
        <v>597</v>
      </c>
      <c r="AM711">
        <v>643.43574999999998</v>
      </c>
      <c r="AO711" t="s">
        <v>35</v>
      </c>
      <c r="AW711">
        <v>7863000</v>
      </c>
      <c r="AY711">
        <v>157260000</v>
      </c>
      <c r="AZ711">
        <v>52420000</v>
      </c>
      <c r="BD711">
        <v>7.25</v>
      </c>
    </row>
    <row r="712" spans="1:57">
      <c r="A712" t="s">
        <v>755</v>
      </c>
      <c r="B712" t="s">
        <v>134</v>
      </c>
      <c r="C712">
        <v>2019</v>
      </c>
      <c r="E712">
        <v>2019</v>
      </c>
      <c r="F712" t="s">
        <v>27</v>
      </c>
      <c r="H712">
        <v>3000</v>
      </c>
      <c r="I712">
        <v>1</v>
      </c>
      <c r="J712" t="s">
        <v>137</v>
      </c>
      <c r="L712" t="s">
        <v>24</v>
      </c>
      <c r="M712">
        <v>84</v>
      </c>
      <c r="Q712">
        <v>1140135</v>
      </c>
      <c r="S712">
        <v>0.38</v>
      </c>
      <c r="U712">
        <v>20</v>
      </c>
      <c r="AB712" t="s">
        <v>139</v>
      </c>
      <c r="AD712" t="s">
        <v>33</v>
      </c>
      <c r="AF712">
        <v>0.29920091300000001</v>
      </c>
      <c r="AG712">
        <v>3000</v>
      </c>
      <c r="AK712" t="s">
        <v>709</v>
      </c>
      <c r="AL712" t="s">
        <v>597</v>
      </c>
      <c r="AM712">
        <v>643.43574999999998</v>
      </c>
      <c r="AO712" t="s">
        <v>35</v>
      </c>
      <c r="AW712">
        <v>7863000</v>
      </c>
      <c r="AY712">
        <v>157260000</v>
      </c>
      <c r="AZ712">
        <v>52420000</v>
      </c>
      <c r="BD712">
        <v>7.25</v>
      </c>
    </row>
    <row r="713" spans="1:57">
      <c r="A713" t="s">
        <v>746</v>
      </c>
      <c r="B713" t="s">
        <v>141</v>
      </c>
      <c r="C713">
        <v>2019</v>
      </c>
      <c r="E713">
        <v>2019</v>
      </c>
      <c r="F713" t="s">
        <v>27</v>
      </c>
      <c r="G713" t="s">
        <v>19</v>
      </c>
      <c r="H713">
        <v>1500</v>
      </c>
      <c r="I713">
        <v>134</v>
      </c>
      <c r="J713" t="s">
        <v>166</v>
      </c>
      <c r="L713" t="s">
        <v>24</v>
      </c>
      <c r="N713">
        <v>11.25</v>
      </c>
      <c r="P713">
        <v>3.13</v>
      </c>
      <c r="Q713">
        <v>431292400</v>
      </c>
      <c r="S713">
        <v>2.15</v>
      </c>
      <c r="U713">
        <v>20</v>
      </c>
      <c r="Z713">
        <v>0.27</v>
      </c>
      <c r="AB713" t="s">
        <v>167</v>
      </c>
      <c r="AD713" t="s">
        <v>33</v>
      </c>
      <c r="AF713">
        <v>0.23739748699999999</v>
      </c>
      <c r="AG713">
        <v>201000</v>
      </c>
      <c r="AH713">
        <v>2261630800</v>
      </c>
      <c r="AK713" t="s">
        <v>709</v>
      </c>
      <c r="AL713" t="s">
        <v>597</v>
      </c>
      <c r="AM713">
        <v>643.43574999999998</v>
      </c>
      <c r="AO713" t="s">
        <v>20</v>
      </c>
      <c r="AQ713">
        <v>628230778</v>
      </c>
      <c r="AS713">
        <v>188469233.30000001</v>
      </c>
      <c r="AU713">
        <v>0.02</v>
      </c>
      <c r="AW713">
        <v>418000000</v>
      </c>
      <c r="AY713">
        <v>8360000000</v>
      </c>
      <c r="AZ713">
        <v>41592039.800995</v>
      </c>
      <c r="BB713">
        <v>0.08</v>
      </c>
      <c r="BD713">
        <v>51.59</v>
      </c>
    </row>
    <row r="714" spans="1:57">
      <c r="A714" t="s">
        <v>746</v>
      </c>
      <c r="B714" t="s">
        <v>141</v>
      </c>
      <c r="C714">
        <v>2019</v>
      </c>
      <c r="E714">
        <v>2019</v>
      </c>
      <c r="F714" t="s">
        <v>27</v>
      </c>
      <c r="G714" t="s">
        <v>19</v>
      </c>
      <c r="H714">
        <v>850</v>
      </c>
      <c r="I714">
        <v>26</v>
      </c>
      <c r="J714" t="s">
        <v>168</v>
      </c>
      <c r="L714" t="s">
        <v>24</v>
      </c>
      <c r="N714">
        <v>13.85</v>
      </c>
      <c r="P714">
        <v>3.85</v>
      </c>
      <c r="Q714">
        <v>78720420</v>
      </c>
      <c r="S714">
        <v>3.56</v>
      </c>
      <c r="U714">
        <v>20</v>
      </c>
      <c r="Z714">
        <v>0.26</v>
      </c>
      <c r="AB714" t="s">
        <v>169</v>
      </c>
      <c r="AD714" t="s">
        <v>33</v>
      </c>
      <c r="AF714">
        <v>0.30837414000000002</v>
      </c>
      <c r="AG714">
        <v>22100</v>
      </c>
      <c r="AH714">
        <v>306000000</v>
      </c>
      <c r="AK714" t="s">
        <v>709</v>
      </c>
      <c r="AL714" t="s">
        <v>597</v>
      </c>
      <c r="AM714">
        <v>643.43574999999998</v>
      </c>
      <c r="AO714" t="s">
        <v>20</v>
      </c>
      <c r="AQ714">
        <v>85000000</v>
      </c>
      <c r="AS714">
        <v>25500000</v>
      </c>
      <c r="AU714">
        <v>0.02</v>
      </c>
      <c r="AW714">
        <v>59700000</v>
      </c>
      <c r="AY714">
        <v>1194000000</v>
      </c>
      <c r="AZ714">
        <v>54027149.321267001</v>
      </c>
      <c r="BB714">
        <v>7.0000000000000007E-2</v>
      </c>
      <c r="BD714">
        <v>65.930000000000007</v>
      </c>
    </row>
    <row r="715" spans="1:57">
      <c r="A715" t="s">
        <v>746</v>
      </c>
      <c r="B715" t="s">
        <v>141</v>
      </c>
      <c r="C715">
        <v>2019</v>
      </c>
      <c r="E715">
        <v>2019</v>
      </c>
      <c r="F715" t="s">
        <v>27</v>
      </c>
      <c r="G715" t="s">
        <v>19</v>
      </c>
      <c r="H715">
        <v>850</v>
      </c>
      <c r="I715">
        <v>142</v>
      </c>
      <c r="J715" t="s">
        <v>170</v>
      </c>
      <c r="L715" t="s">
        <v>24</v>
      </c>
      <c r="N715">
        <v>20.46</v>
      </c>
      <c r="P715">
        <v>5.68</v>
      </c>
      <c r="Q715">
        <v>493278000</v>
      </c>
      <c r="S715">
        <v>4.09</v>
      </c>
      <c r="U715">
        <v>20</v>
      </c>
      <c r="Z715">
        <v>0.43</v>
      </c>
      <c r="AB715" t="s">
        <v>171</v>
      </c>
      <c r="AD715" t="s">
        <v>33</v>
      </c>
      <c r="AF715">
        <v>0.26954636799999998</v>
      </c>
      <c r="AG715">
        <v>120700</v>
      </c>
      <c r="AH715">
        <v>2469000000</v>
      </c>
      <c r="AK715" t="s">
        <v>709</v>
      </c>
      <c r="AL715" t="s">
        <v>597</v>
      </c>
      <c r="AM715">
        <v>643.43574999999998</v>
      </c>
      <c r="AO715" t="s">
        <v>20</v>
      </c>
      <c r="AQ715">
        <v>685833333</v>
      </c>
      <c r="AS715">
        <v>205750000</v>
      </c>
      <c r="AU715">
        <v>0.04</v>
      </c>
      <c r="AW715">
        <v>285000000</v>
      </c>
      <c r="AY715">
        <v>5700000000</v>
      </c>
      <c r="AZ715">
        <v>47224523.612261802</v>
      </c>
      <c r="BB715">
        <v>0.12</v>
      </c>
      <c r="BD715">
        <v>86.54</v>
      </c>
    </row>
    <row r="716" spans="1:57">
      <c r="A716" t="s">
        <v>743</v>
      </c>
      <c r="B716" t="s">
        <v>204</v>
      </c>
      <c r="C716">
        <v>2019</v>
      </c>
      <c r="E716">
        <v>2019</v>
      </c>
      <c r="F716" t="s">
        <v>27</v>
      </c>
      <c r="G716" t="s">
        <v>205</v>
      </c>
      <c r="H716">
        <v>100</v>
      </c>
      <c r="I716">
        <v>1</v>
      </c>
      <c r="J716" t="s">
        <v>206</v>
      </c>
      <c r="L716" t="s">
        <v>24</v>
      </c>
      <c r="Q716">
        <v>132000</v>
      </c>
      <c r="R716">
        <v>9640</v>
      </c>
      <c r="S716">
        <v>1.18</v>
      </c>
      <c r="T716">
        <v>0.23</v>
      </c>
      <c r="U716">
        <v>20</v>
      </c>
      <c r="AD716" t="s">
        <v>86</v>
      </c>
      <c r="AF716">
        <v>0.15251511300000001</v>
      </c>
      <c r="AG716">
        <v>100</v>
      </c>
      <c r="AK716" t="s">
        <v>709</v>
      </c>
      <c r="AL716" t="s">
        <v>597</v>
      </c>
      <c r="AM716">
        <v>643.43574999999998</v>
      </c>
      <c r="AW716">
        <v>133603.23886639701</v>
      </c>
      <c r="AY716">
        <v>2672064.7773279399</v>
      </c>
      <c r="AZ716">
        <v>26720647.773279399</v>
      </c>
      <c r="BD716">
        <v>49.4</v>
      </c>
      <c r="BE716">
        <v>39.4</v>
      </c>
    </row>
    <row r="717" spans="1:57">
      <c r="A717" t="s">
        <v>743</v>
      </c>
      <c r="B717" t="s">
        <v>204</v>
      </c>
      <c r="C717">
        <v>2019</v>
      </c>
      <c r="E717">
        <v>2019</v>
      </c>
      <c r="F717" t="s">
        <v>27</v>
      </c>
      <c r="G717" t="s">
        <v>205</v>
      </c>
      <c r="H717">
        <v>500</v>
      </c>
      <c r="I717">
        <v>1</v>
      </c>
      <c r="J717" t="s">
        <v>207</v>
      </c>
      <c r="L717" t="s">
        <v>24</v>
      </c>
      <c r="Q717">
        <v>379000</v>
      </c>
      <c r="R717">
        <v>31000</v>
      </c>
      <c r="S717">
        <v>0.75</v>
      </c>
      <c r="T717">
        <v>0.04</v>
      </c>
      <c r="U717">
        <v>20</v>
      </c>
      <c r="AD717" t="s">
        <v>86</v>
      </c>
      <c r="AF717">
        <v>0.221870975</v>
      </c>
      <c r="AG717">
        <v>500</v>
      </c>
      <c r="AK717" t="s">
        <v>709</v>
      </c>
      <c r="AL717" t="s">
        <v>597</v>
      </c>
      <c r="AM717">
        <v>643.43574999999998</v>
      </c>
      <c r="AW717">
        <v>971794.87179487199</v>
      </c>
      <c r="AY717">
        <v>19435897.435897399</v>
      </c>
      <c r="AZ717">
        <v>38871794.871794902</v>
      </c>
      <c r="BD717">
        <v>19.5</v>
      </c>
      <c r="BE717">
        <v>5.0199999999999996</v>
      </c>
    </row>
    <row r="718" spans="1:57">
      <c r="A718" t="s">
        <v>743</v>
      </c>
      <c r="B718" t="s">
        <v>204</v>
      </c>
      <c r="C718">
        <v>2019</v>
      </c>
      <c r="E718">
        <v>2019</v>
      </c>
      <c r="F718" t="s">
        <v>27</v>
      </c>
      <c r="G718" t="s">
        <v>205</v>
      </c>
      <c r="H718">
        <v>1000</v>
      </c>
      <c r="I718">
        <v>1</v>
      </c>
      <c r="J718" t="s">
        <v>208</v>
      </c>
      <c r="L718" t="s">
        <v>24</v>
      </c>
      <c r="Q718">
        <v>765000</v>
      </c>
      <c r="R718">
        <v>82200</v>
      </c>
      <c r="S718">
        <v>0.75</v>
      </c>
      <c r="T718">
        <v>0.02</v>
      </c>
      <c r="U718">
        <v>20</v>
      </c>
      <c r="AD718" t="s">
        <v>86</v>
      </c>
      <c r="AF718">
        <v>0.19757639599999999</v>
      </c>
      <c r="AG718">
        <v>1000</v>
      </c>
      <c r="AK718" t="s">
        <v>709</v>
      </c>
      <c r="AL718" t="s">
        <v>597</v>
      </c>
      <c r="AM718">
        <v>643.43574999999998</v>
      </c>
      <c r="AW718">
        <v>1730769.2307692301</v>
      </c>
      <c r="AY718">
        <v>34615384.615384601</v>
      </c>
      <c r="AZ718">
        <v>34615384.615384601</v>
      </c>
      <c r="BD718">
        <v>22.1</v>
      </c>
      <c r="BE718">
        <v>5.83</v>
      </c>
    </row>
    <row r="719" spans="1:57">
      <c r="A719" t="s">
        <v>743</v>
      </c>
      <c r="B719" t="s">
        <v>204</v>
      </c>
      <c r="C719">
        <v>2019</v>
      </c>
      <c r="E719">
        <v>2019</v>
      </c>
      <c r="F719" t="s">
        <v>27</v>
      </c>
      <c r="G719" t="s">
        <v>205</v>
      </c>
      <c r="H719">
        <v>2000</v>
      </c>
      <c r="I719">
        <v>1</v>
      </c>
      <c r="J719" t="s">
        <v>209</v>
      </c>
      <c r="L719" t="s">
        <v>24</v>
      </c>
      <c r="Q719">
        <v>1560000</v>
      </c>
      <c r="R719">
        <v>222000</v>
      </c>
      <c r="S719">
        <v>0.81</v>
      </c>
      <c r="T719">
        <v>0.11</v>
      </c>
      <c r="U719">
        <v>20</v>
      </c>
      <c r="AD719" t="s">
        <v>86</v>
      </c>
      <c r="AF719">
        <v>0.25011543800000002</v>
      </c>
      <c r="AG719">
        <v>2000</v>
      </c>
      <c r="AK719" t="s">
        <v>709</v>
      </c>
      <c r="AL719" t="s">
        <v>597</v>
      </c>
      <c r="AM719">
        <v>643.43574999999998</v>
      </c>
      <c r="AW719">
        <v>4382022.4719101097</v>
      </c>
      <c r="AY719">
        <v>87640449.438202202</v>
      </c>
      <c r="AZ719">
        <v>43820224.719101101</v>
      </c>
      <c r="BD719">
        <v>17.8</v>
      </c>
      <c r="BE719">
        <v>4.79</v>
      </c>
    </row>
    <row r="720" spans="1:57">
      <c r="A720" t="s">
        <v>743</v>
      </c>
      <c r="B720" t="s">
        <v>204</v>
      </c>
      <c r="C720">
        <v>2019</v>
      </c>
      <c r="E720">
        <v>2019</v>
      </c>
      <c r="F720" t="s">
        <v>27</v>
      </c>
      <c r="G720" t="s">
        <v>205</v>
      </c>
      <c r="H720">
        <v>2000</v>
      </c>
      <c r="I720">
        <v>1</v>
      </c>
      <c r="J720" t="s">
        <v>210</v>
      </c>
      <c r="L720" t="s">
        <v>31</v>
      </c>
      <c r="Q720">
        <v>1650000</v>
      </c>
      <c r="R720">
        <v>42000</v>
      </c>
      <c r="S720">
        <v>0.83</v>
      </c>
      <c r="T720">
        <v>0.02</v>
      </c>
      <c r="U720">
        <v>20</v>
      </c>
      <c r="AD720" t="s">
        <v>86</v>
      </c>
      <c r="AF720">
        <v>0.37077985099999999</v>
      </c>
      <c r="AG720">
        <v>2000</v>
      </c>
      <c r="AK720" t="s">
        <v>709</v>
      </c>
      <c r="AL720" t="s">
        <v>597</v>
      </c>
      <c r="AM720">
        <v>643.43574999999998</v>
      </c>
      <c r="AW720">
        <v>6496062.9921259796</v>
      </c>
      <c r="AY720">
        <v>129921259.84252</v>
      </c>
      <c r="AZ720">
        <v>64960629.921259798</v>
      </c>
      <c r="BD720">
        <v>12.7</v>
      </c>
      <c r="BE720">
        <v>3.41</v>
      </c>
    </row>
    <row r="721" spans="1:56">
      <c r="A721" t="s">
        <v>742</v>
      </c>
      <c r="B721" t="s">
        <v>211</v>
      </c>
      <c r="C721">
        <v>2019</v>
      </c>
      <c r="E721">
        <v>2019</v>
      </c>
      <c r="F721" t="s">
        <v>109</v>
      </c>
      <c r="G721" t="s">
        <v>30</v>
      </c>
      <c r="H721">
        <v>2250</v>
      </c>
      <c r="I721">
        <v>10</v>
      </c>
      <c r="N721">
        <v>8.74</v>
      </c>
      <c r="P721">
        <v>2.4300000000000002</v>
      </c>
      <c r="Q721">
        <v>18880000</v>
      </c>
      <c r="S721">
        <v>0.83</v>
      </c>
      <c r="U721">
        <v>20</v>
      </c>
      <c r="Z721">
        <v>0.15</v>
      </c>
      <c r="AF721">
        <v>0.33992897</v>
      </c>
      <c r="AG721">
        <v>22500</v>
      </c>
      <c r="AH721">
        <v>196550000</v>
      </c>
      <c r="AK721" t="s">
        <v>709</v>
      </c>
      <c r="AL721" t="s">
        <v>597</v>
      </c>
      <c r="AM721">
        <v>643.43574999999998</v>
      </c>
      <c r="AQ721">
        <v>54597222</v>
      </c>
      <c r="AS721">
        <v>16379166.699999999</v>
      </c>
      <c r="AU721">
        <v>0.01</v>
      </c>
      <c r="AW721">
        <v>67000000</v>
      </c>
      <c r="AY721">
        <v>1340000000</v>
      </c>
      <c r="AZ721">
        <v>59555555.555555597</v>
      </c>
      <c r="BB721">
        <v>0.04</v>
      </c>
      <c r="BD721">
        <v>14.09</v>
      </c>
    </row>
    <row r="722" spans="1:56">
      <c r="A722" t="s">
        <v>742</v>
      </c>
      <c r="B722" t="s">
        <v>211</v>
      </c>
      <c r="C722">
        <v>2019</v>
      </c>
      <c r="E722">
        <v>2019</v>
      </c>
      <c r="F722" t="s">
        <v>109</v>
      </c>
      <c r="G722" t="s">
        <v>81</v>
      </c>
      <c r="H722">
        <v>2250</v>
      </c>
      <c r="I722">
        <v>11</v>
      </c>
      <c r="N722">
        <v>10.34</v>
      </c>
      <c r="P722">
        <v>2.87</v>
      </c>
      <c r="Q722">
        <v>24662000</v>
      </c>
      <c r="S722">
        <v>0.83</v>
      </c>
      <c r="U722">
        <v>20</v>
      </c>
      <c r="Z722">
        <v>0.12</v>
      </c>
      <c r="AF722">
        <v>0.48706240499999998</v>
      </c>
      <c r="AG722">
        <v>24750</v>
      </c>
      <c r="AH722">
        <v>255926000</v>
      </c>
      <c r="AK722" t="s">
        <v>709</v>
      </c>
      <c r="AL722" t="s">
        <v>597</v>
      </c>
      <c r="AM722">
        <v>643.43574999999998</v>
      </c>
      <c r="AQ722">
        <v>71090556</v>
      </c>
      <c r="AS722">
        <v>21327166.699999999</v>
      </c>
      <c r="AU722">
        <v>0.01</v>
      </c>
      <c r="AW722">
        <v>105600000</v>
      </c>
      <c r="AY722">
        <v>2112000000</v>
      </c>
      <c r="AZ722">
        <v>85333333.333333299</v>
      </c>
      <c r="BB722">
        <v>0.03</v>
      </c>
      <c r="BD722">
        <v>11.68</v>
      </c>
    </row>
    <row r="723" spans="1:56">
      <c r="A723" t="s">
        <v>742</v>
      </c>
      <c r="B723" t="s">
        <v>211</v>
      </c>
      <c r="C723">
        <v>2019</v>
      </c>
      <c r="E723">
        <v>2019</v>
      </c>
      <c r="F723" t="s">
        <v>109</v>
      </c>
      <c r="G723" t="s">
        <v>212</v>
      </c>
      <c r="H723">
        <v>2250</v>
      </c>
      <c r="I723">
        <v>1</v>
      </c>
      <c r="N723">
        <v>14.89</v>
      </c>
      <c r="P723">
        <v>4.13</v>
      </c>
      <c r="Q723">
        <v>3262000</v>
      </c>
      <c r="S723">
        <v>0.83</v>
      </c>
      <c r="U723">
        <v>20</v>
      </c>
      <c r="Z723">
        <v>0.18</v>
      </c>
      <c r="AF723">
        <v>0.461694571</v>
      </c>
      <c r="AG723">
        <v>2250</v>
      </c>
      <c r="AH723">
        <v>33492000</v>
      </c>
      <c r="AK723" t="s">
        <v>709</v>
      </c>
      <c r="AL723" t="s">
        <v>597</v>
      </c>
      <c r="AM723">
        <v>643.43574999999998</v>
      </c>
      <c r="AQ723">
        <v>9303333</v>
      </c>
      <c r="AS723">
        <v>2791000</v>
      </c>
      <c r="AU723">
        <v>0.02</v>
      </c>
      <c r="AW723">
        <v>9100000</v>
      </c>
      <c r="AY723">
        <v>182000000</v>
      </c>
      <c r="AZ723">
        <v>80888888.888888896</v>
      </c>
      <c r="BB723">
        <v>0.05</v>
      </c>
      <c r="BD723">
        <v>17.920000000000002</v>
      </c>
    </row>
    <row r="724" spans="1:56">
      <c r="A724" t="s">
        <v>742</v>
      </c>
      <c r="B724" t="s">
        <v>211</v>
      </c>
      <c r="C724">
        <v>2019</v>
      </c>
      <c r="E724">
        <v>2019</v>
      </c>
      <c r="F724" t="s">
        <v>109</v>
      </c>
      <c r="G724" t="s">
        <v>212</v>
      </c>
      <c r="H724">
        <v>3250</v>
      </c>
      <c r="I724">
        <v>1</v>
      </c>
      <c r="N724">
        <v>11.73</v>
      </c>
      <c r="P724">
        <v>3.26</v>
      </c>
      <c r="Q724">
        <v>3724000</v>
      </c>
      <c r="S724">
        <v>0.83</v>
      </c>
      <c r="U724">
        <v>20</v>
      </c>
      <c r="Z724">
        <v>0.19</v>
      </c>
      <c r="AF724">
        <v>0.35827186500000002</v>
      </c>
      <c r="AG724">
        <v>3250</v>
      </c>
      <c r="AH724">
        <v>38111000</v>
      </c>
      <c r="AK724" t="s">
        <v>709</v>
      </c>
      <c r="AL724" t="s">
        <v>597</v>
      </c>
      <c r="AM724">
        <v>643.43574999999998</v>
      </c>
      <c r="AQ724">
        <v>10586389</v>
      </c>
      <c r="AS724">
        <v>3175916.7</v>
      </c>
      <c r="AU724">
        <v>0.02</v>
      </c>
      <c r="AW724">
        <v>10200000</v>
      </c>
      <c r="AY724">
        <v>204000000</v>
      </c>
      <c r="AZ724">
        <v>62769230.769230798</v>
      </c>
      <c r="BB724">
        <v>0.05</v>
      </c>
      <c r="BD724">
        <v>18.25</v>
      </c>
    </row>
    <row r="725" spans="1:56">
      <c r="A725" t="s">
        <v>741</v>
      </c>
      <c r="B725" t="s">
        <v>213</v>
      </c>
      <c r="C725">
        <v>2019</v>
      </c>
      <c r="E725">
        <v>2019</v>
      </c>
      <c r="G725" t="s">
        <v>214</v>
      </c>
      <c r="L725" t="s">
        <v>24</v>
      </c>
      <c r="S725">
        <v>0.04</v>
      </c>
      <c r="AK725" t="s">
        <v>709</v>
      </c>
      <c r="AL725" t="s">
        <v>597</v>
      </c>
      <c r="AM725">
        <v>643.43574999999998</v>
      </c>
    </row>
    <row r="726" spans="1:56">
      <c r="A726" t="s">
        <v>741</v>
      </c>
      <c r="B726" t="s">
        <v>213</v>
      </c>
      <c r="C726">
        <v>2019</v>
      </c>
      <c r="E726">
        <v>2019</v>
      </c>
      <c r="G726" t="s">
        <v>214</v>
      </c>
      <c r="L726" t="s">
        <v>31</v>
      </c>
      <c r="S726">
        <v>0.04</v>
      </c>
      <c r="AK726" t="s">
        <v>709</v>
      </c>
      <c r="AL726" t="s">
        <v>597</v>
      </c>
      <c r="AM726">
        <v>643.43574999999998</v>
      </c>
    </row>
    <row r="727" spans="1:56">
      <c r="A727" t="s">
        <v>726</v>
      </c>
      <c r="B727" t="s">
        <v>26</v>
      </c>
      <c r="C727">
        <v>2019</v>
      </c>
      <c r="E727">
        <v>2019</v>
      </c>
      <c r="F727" t="s">
        <v>27</v>
      </c>
      <c r="H727">
        <v>2000</v>
      </c>
      <c r="I727">
        <v>1</v>
      </c>
      <c r="L727" t="s">
        <v>24</v>
      </c>
      <c r="Q727">
        <v>33278190</v>
      </c>
      <c r="S727">
        <v>16.64</v>
      </c>
      <c r="U727">
        <v>20</v>
      </c>
      <c r="AD727" t="s">
        <v>33</v>
      </c>
      <c r="AF727">
        <v>0.32157534199999999</v>
      </c>
      <c r="AG727">
        <v>2000</v>
      </c>
      <c r="AK727" t="s">
        <v>709</v>
      </c>
      <c r="AL727" t="s">
        <v>597</v>
      </c>
      <c r="AM727">
        <v>643.43574999999998</v>
      </c>
      <c r="AO727" t="s">
        <v>35</v>
      </c>
      <c r="AW727">
        <v>5634000</v>
      </c>
      <c r="AY727">
        <v>112680000</v>
      </c>
      <c r="AZ727">
        <v>56340000</v>
      </c>
      <c r="BD727">
        <v>295.33</v>
      </c>
    </row>
    <row r="728" spans="1:56">
      <c r="A728" t="s">
        <v>726</v>
      </c>
      <c r="B728" t="s">
        <v>26</v>
      </c>
      <c r="C728">
        <v>2019</v>
      </c>
      <c r="E728">
        <v>2019</v>
      </c>
      <c r="F728" t="s">
        <v>27</v>
      </c>
      <c r="H728">
        <v>2000</v>
      </c>
      <c r="I728">
        <v>1</v>
      </c>
      <c r="L728" t="s">
        <v>31</v>
      </c>
      <c r="Q728">
        <v>75904840</v>
      </c>
      <c r="S728">
        <v>37.950000000000003</v>
      </c>
      <c r="U728">
        <v>20</v>
      </c>
      <c r="AD728" t="s">
        <v>33</v>
      </c>
      <c r="AF728">
        <v>0.46164383599999997</v>
      </c>
      <c r="AG728">
        <v>2000</v>
      </c>
      <c r="AK728" t="s">
        <v>709</v>
      </c>
      <c r="AL728" t="s">
        <v>597</v>
      </c>
      <c r="AM728">
        <v>643.43574999999998</v>
      </c>
      <c r="AO728" t="s">
        <v>35</v>
      </c>
      <c r="AW728">
        <v>8088000</v>
      </c>
      <c r="AY728">
        <v>161760000</v>
      </c>
      <c r="AZ728">
        <v>80880000</v>
      </c>
      <c r="BD728">
        <v>469.24</v>
      </c>
    </row>
    <row r="729" spans="1:56">
      <c r="A729" t="s">
        <v>725</v>
      </c>
      <c r="B729" t="s">
        <v>280</v>
      </c>
      <c r="C729">
        <v>2019</v>
      </c>
      <c r="E729">
        <v>2019</v>
      </c>
      <c r="G729" t="s">
        <v>281</v>
      </c>
      <c r="H729">
        <v>1941.5159676799999</v>
      </c>
      <c r="I729">
        <v>2599</v>
      </c>
      <c r="Q729">
        <v>4875200000000</v>
      </c>
      <c r="S729">
        <v>966.15</v>
      </c>
      <c r="U729">
        <v>25</v>
      </c>
      <c r="AF729">
        <v>0.27572814099999998</v>
      </c>
      <c r="AG729">
        <v>5046000</v>
      </c>
      <c r="AK729" t="s">
        <v>709</v>
      </c>
      <c r="AL729" t="s">
        <v>597</v>
      </c>
      <c r="AM729">
        <v>643.43574999999998</v>
      </c>
      <c r="AO729" t="s">
        <v>20</v>
      </c>
      <c r="AW729">
        <v>12188000000</v>
      </c>
      <c r="AY729">
        <v>304700000000</v>
      </c>
      <c r="AZ729">
        <v>60384462.940943301</v>
      </c>
      <c r="BD729">
        <v>16</v>
      </c>
    </row>
    <row r="730" spans="1:56">
      <c r="A730" t="s">
        <v>721</v>
      </c>
      <c r="B730" t="s">
        <v>290</v>
      </c>
      <c r="C730">
        <v>2019</v>
      </c>
      <c r="E730">
        <v>2019</v>
      </c>
      <c r="F730" t="s">
        <v>27</v>
      </c>
      <c r="G730" t="s">
        <v>205</v>
      </c>
      <c r="H730">
        <v>1000</v>
      </c>
      <c r="I730">
        <v>1</v>
      </c>
      <c r="J730" t="s">
        <v>291</v>
      </c>
      <c r="L730" t="s">
        <v>24</v>
      </c>
      <c r="S730">
        <v>0.74</v>
      </c>
      <c r="AD730" t="s">
        <v>33</v>
      </c>
      <c r="AF730">
        <v>0.191</v>
      </c>
      <c r="AG730">
        <v>1000</v>
      </c>
      <c r="AK730" t="s">
        <v>709</v>
      </c>
      <c r="AL730" t="s">
        <v>597</v>
      </c>
      <c r="AM730">
        <v>643.43574999999998</v>
      </c>
      <c r="AO730" t="s">
        <v>20</v>
      </c>
      <c r="AW730">
        <v>1673160</v>
      </c>
      <c r="BD730">
        <v>17.600000000000001</v>
      </c>
    </row>
    <row r="731" spans="1:56">
      <c r="A731" t="s">
        <v>721</v>
      </c>
      <c r="B731" t="s">
        <v>290</v>
      </c>
      <c r="C731">
        <v>2019</v>
      </c>
      <c r="E731">
        <v>2019</v>
      </c>
      <c r="F731" t="s">
        <v>27</v>
      </c>
      <c r="G731" t="s">
        <v>205</v>
      </c>
      <c r="H731">
        <v>2000</v>
      </c>
      <c r="I731">
        <v>1</v>
      </c>
      <c r="J731" t="s">
        <v>291</v>
      </c>
      <c r="L731" t="s">
        <v>24</v>
      </c>
      <c r="S731">
        <v>0.73</v>
      </c>
      <c r="AD731" t="s">
        <v>33</v>
      </c>
      <c r="AF731">
        <v>0.25</v>
      </c>
      <c r="AG731">
        <v>2000</v>
      </c>
      <c r="AK731" t="s">
        <v>709</v>
      </c>
      <c r="AL731" t="s">
        <v>597</v>
      </c>
      <c r="AM731">
        <v>643.43574999999998</v>
      </c>
      <c r="AO731" t="s">
        <v>20</v>
      </c>
      <c r="AW731">
        <v>4380000</v>
      </c>
      <c r="BD731">
        <v>15.5</v>
      </c>
    </row>
    <row r="732" spans="1:56">
      <c r="A732" t="s">
        <v>721</v>
      </c>
      <c r="B732" t="s">
        <v>290</v>
      </c>
      <c r="C732">
        <v>2019</v>
      </c>
      <c r="E732">
        <v>2019</v>
      </c>
      <c r="F732" t="s">
        <v>27</v>
      </c>
      <c r="G732" t="s">
        <v>205</v>
      </c>
      <c r="H732">
        <v>3500</v>
      </c>
      <c r="I732">
        <v>1</v>
      </c>
      <c r="J732" t="s">
        <v>291</v>
      </c>
      <c r="L732" t="s">
        <v>24</v>
      </c>
      <c r="S732">
        <v>0.83</v>
      </c>
      <c r="AD732" t="s">
        <v>33</v>
      </c>
      <c r="AF732">
        <v>0.30299999999999999</v>
      </c>
      <c r="AG732">
        <v>3500</v>
      </c>
      <c r="AK732" t="s">
        <v>709</v>
      </c>
      <c r="AL732" t="s">
        <v>597</v>
      </c>
      <c r="AM732">
        <v>643.43574999999998</v>
      </c>
      <c r="AO732" t="s">
        <v>20</v>
      </c>
      <c r="AW732">
        <v>9289980</v>
      </c>
      <c r="BD732">
        <v>14.1</v>
      </c>
    </row>
    <row r="733" spans="1:56">
      <c r="A733" t="s">
        <v>721</v>
      </c>
      <c r="B733" t="s">
        <v>290</v>
      </c>
      <c r="C733">
        <v>2019</v>
      </c>
      <c r="E733">
        <v>2019</v>
      </c>
      <c r="F733" t="s">
        <v>27</v>
      </c>
      <c r="G733" t="s">
        <v>205</v>
      </c>
      <c r="H733">
        <v>2000</v>
      </c>
      <c r="I733">
        <v>1</v>
      </c>
      <c r="J733" t="s">
        <v>291</v>
      </c>
      <c r="L733" t="s">
        <v>31</v>
      </c>
      <c r="S733">
        <v>0.98</v>
      </c>
      <c r="AD733" t="s">
        <v>33</v>
      </c>
      <c r="AF733">
        <v>0.39500000000000002</v>
      </c>
      <c r="AG733">
        <v>2000</v>
      </c>
      <c r="AK733" t="s">
        <v>709</v>
      </c>
      <c r="AL733" t="s">
        <v>597</v>
      </c>
      <c r="AM733">
        <v>643.43574999999998</v>
      </c>
      <c r="AO733" t="s">
        <v>20</v>
      </c>
      <c r="AW733">
        <v>6920400</v>
      </c>
      <c r="BD733">
        <v>13.6</v>
      </c>
    </row>
    <row r="734" spans="1:56">
      <c r="A734" t="s">
        <v>715</v>
      </c>
      <c r="B734" t="s">
        <v>18</v>
      </c>
      <c r="C734">
        <v>2020</v>
      </c>
      <c r="E734">
        <v>2020</v>
      </c>
      <c r="F734" t="s">
        <v>27</v>
      </c>
      <c r="G734" t="s">
        <v>19</v>
      </c>
      <c r="H734">
        <v>1500</v>
      </c>
      <c r="I734">
        <v>33</v>
      </c>
      <c r="J734" t="s">
        <v>23</v>
      </c>
      <c r="L734" t="s">
        <v>24</v>
      </c>
      <c r="N734">
        <v>24.14</v>
      </c>
      <c r="P734">
        <v>6.7</v>
      </c>
      <c r="Q734">
        <v>65383736</v>
      </c>
      <c r="S734">
        <v>1.32</v>
      </c>
      <c r="U734">
        <v>20</v>
      </c>
      <c r="Z734">
        <v>0.57999999999999996</v>
      </c>
      <c r="AB734" t="s">
        <v>25</v>
      </c>
      <c r="AD734" t="s">
        <v>22</v>
      </c>
      <c r="AF734">
        <v>0.23693556599999999</v>
      </c>
      <c r="AG734">
        <v>49500</v>
      </c>
      <c r="AH734">
        <v>1194695006</v>
      </c>
      <c r="AK734" t="s">
        <v>709</v>
      </c>
      <c r="AL734" t="s">
        <v>597</v>
      </c>
      <c r="AM734">
        <v>741.39724999999999</v>
      </c>
      <c r="AO734" t="s">
        <v>20</v>
      </c>
      <c r="AQ734">
        <v>331859724</v>
      </c>
      <c r="AS734">
        <v>99557917.200000003</v>
      </c>
      <c r="AU734">
        <v>0.05</v>
      </c>
      <c r="AW734">
        <v>102740000</v>
      </c>
      <c r="AY734">
        <v>2054800000</v>
      </c>
      <c r="AZ734">
        <v>41511111.111111097</v>
      </c>
      <c r="BB734">
        <v>0.16</v>
      </c>
      <c r="BD734">
        <v>31.82</v>
      </c>
    </row>
    <row r="735" spans="1:56">
      <c r="A735" t="s">
        <v>761</v>
      </c>
      <c r="B735" t="s">
        <v>106</v>
      </c>
      <c r="C735">
        <v>2020</v>
      </c>
      <c r="E735">
        <v>2020</v>
      </c>
      <c r="F735" t="s">
        <v>27</v>
      </c>
      <c r="G735" t="s">
        <v>19</v>
      </c>
      <c r="H735">
        <v>660</v>
      </c>
      <c r="I735">
        <v>4</v>
      </c>
      <c r="J735" t="s">
        <v>75</v>
      </c>
      <c r="L735" t="s">
        <v>24</v>
      </c>
      <c r="M735">
        <v>55</v>
      </c>
      <c r="N735">
        <v>2.2200000000000002</v>
      </c>
      <c r="P735">
        <v>0.62</v>
      </c>
      <c r="Q735">
        <v>386400</v>
      </c>
      <c r="S735">
        <v>0.15</v>
      </c>
      <c r="U735">
        <v>20</v>
      </c>
      <c r="Z735">
        <v>0.04</v>
      </c>
      <c r="AD735" t="s">
        <v>33</v>
      </c>
      <c r="AE735">
        <v>47</v>
      </c>
      <c r="AF735">
        <v>0.30873806599999998</v>
      </c>
      <c r="AG735">
        <v>2640</v>
      </c>
      <c r="AH735">
        <v>5856535</v>
      </c>
      <c r="AK735" t="s">
        <v>709</v>
      </c>
      <c r="AL735" t="s">
        <v>597</v>
      </c>
      <c r="AM735">
        <v>741.39724999999999</v>
      </c>
      <c r="AO735" t="s">
        <v>20</v>
      </c>
      <c r="AQ735">
        <v>1626815</v>
      </c>
      <c r="AS735">
        <v>488044.6</v>
      </c>
      <c r="AW735">
        <v>7140000</v>
      </c>
      <c r="AY735">
        <v>142800000</v>
      </c>
      <c r="AZ735">
        <v>54090909.090909101</v>
      </c>
      <c r="BB735">
        <v>0.01</v>
      </c>
      <c r="BD735">
        <v>2.71</v>
      </c>
    </row>
    <row r="736" spans="1:56">
      <c r="A736" t="s">
        <v>761</v>
      </c>
      <c r="B736" t="s">
        <v>106</v>
      </c>
      <c r="C736">
        <v>2020</v>
      </c>
      <c r="E736">
        <v>2020</v>
      </c>
      <c r="F736" t="s">
        <v>27</v>
      </c>
      <c r="G736" t="s">
        <v>19</v>
      </c>
      <c r="H736">
        <v>600</v>
      </c>
      <c r="I736">
        <v>4</v>
      </c>
      <c r="J736" t="s">
        <v>78</v>
      </c>
      <c r="L736" t="s">
        <v>24</v>
      </c>
      <c r="M736">
        <v>65</v>
      </c>
      <c r="N736">
        <v>2.42</v>
      </c>
      <c r="P736">
        <v>0.67</v>
      </c>
      <c r="Q736">
        <v>357564</v>
      </c>
      <c r="S736">
        <v>0.15</v>
      </c>
      <c r="U736">
        <v>20</v>
      </c>
      <c r="Z736">
        <v>0.03</v>
      </c>
      <c r="AD736" t="s">
        <v>33</v>
      </c>
      <c r="AE736">
        <v>40</v>
      </c>
      <c r="AF736">
        <v>0.42189878200000003</v>
      </c>
      <c r="AG736">
        <v>2400</v>
      </c>
      <c r="AH736">
        <v>5798158</v>
      </c>
      <c r="AK736" t="s">
        <v>709</v>
      </c>
      <c r="AL736" t="s">
        <v>597</v>
      </c>
      <c r="AM736">
        <v>741.39724999999999</v>
      </c>
      <c r="AO736" t="s">
        <v>20</v>
      </c>
      <c r="AQ736">
        <v>1610599</v>
      </c>
      <c r="AS736">
        <v>483179.8</v>
      </c>
      <c r="AW736">
        <v>8870000</v>
      </c>
      <c r="AY736">
        <v>177400000</v>
      </c>
      <c r="AZ736">
        <v>73916666.666666701</v>
      </c>
      <c r="BB736">
        <v>0.01</v>
      </c>
      <c r="BD736">
        <v>2.02</v>
      </c>
    </row>
    <row r="737" spans="1:56">
      <c r="A737" t="s">
        <v>761</v>
      </c>
      <c r="B737" t="s">
        <v>106</v>
      </c>
      <c r="C737">
        <v>2020</v>
      </c>
      <c r="E737">
        <v>2020</v>
      </c>
      <c r="F737" t="s">
        <v>27</v>
      </c>
      <c r="G737" t="s">
        <v>19</v>
      </c>
      <c r="H737">
        <v>1750</v>
      </c>
      <c r="I737">
        <v>2</v>
      </c>
      <c r="J737" t="s">
        <v>107</v>
      </c>
      <c r="L737" t="s">
        <v>24</v>
      </c>
      <c r="M737">
        <v>67</v>
      </c>
      <c r="N737">
        <v>4.84</v>
      </c>
      <c r="P737">
        <v>1.34</v>
      </c>
      <c r="Q737">
        <v>1057585</v>
      </c>
      <c r="S737">
        <v>0.3</v>
      </c>
      <c r="U737">
        <v>20</v>
      </c>
      <c r="Z737">
        <v>0.12</v>
      </c>
      <c r="AD737" t="s">
        <v>33</v>
      </c>
      <c r="AE737">
        <v>66</v>
      </c>
      <c r="AF737">
        <v>0.22113502900000001</v>
      </c>
      <c r="AG737">
        <v>3500</v>
      </c>
      <c r="AH737">
        <v>16927519</v>
      </c>
      <c r="AK737" t="s">
        <v>709</v>
      </c>
      <c r="AL737" t="s">
        <v>597</v>
      </c>
      <c r="AM737">
        <v>741.39724999999999</v>
      </c>
      <c r="AO737" t="s">
        <v>20</v>
      </c>
      <c r="AQ737">
        <v>4702089</v>
      </c>
      <c r="AS737">
        <v>1410626.6</v>
      </c>
      <c r="AU737">
        <v>0.01</v>
      </c>
      <c r="AW737">
        <v>6780000</v>
      </c>
      <c r="AY737">
        <v>135600000</v>
      </c>
      <c r="AZ737">
        <v>38742857.142857097</v>
      </c>
      <c r="BB737">
        <v>0.03</v>
      </c>
      <c r="BD737">
        <v>7.8</v>
      </c>
    </row>
    <row r="738" spans="1:56">
      <c r="A738" t="s">
        <v>752</v>
      </c>
      <c r="B738" t="s">
        <v>143</v>
      </c>
      <c r="C738">
        <v>2020</v>
      </c>
      <c r="E738">
        <v>2020</v>
      </c>
      <c r="F738" t="s">
        <v>27</v>
      </c>
      <c r="H738">
        <v>5</v>
      </c>
      <c r="I738">
        <v>2</v>
      </c>
      <c r="L738" t="s">
        <v>24</v>
      </c>
      <c r="U738">
        <v>20</v>
      </c>
      <c r="AB738" t="s">
        <v>144</v>
      </c>
      <c r="AD738" t="s">
        <v>33</v>
      </c>
      <c r="AF738">
        <v>0.157</v>
      </c>
      <c r="AG738">
        <v>10</v>
      </c>
      <c r="AK738" t="s">
        <v>709</v>
      </c>
      <c r="AL738" t="s">
        <v>597</v>
      </c>
      <c r="AM738">
        <v>741.39724999999999</v>
      </c>
      <c r="AO738" t="s">
        <v>35</v>
      </c>
      <c r="AW738">
        <v>13753.2</v>
      </c>
      <c r="AY738">
        <v>275064</v>
      </c>
      <c r="AZ738">
        <v>27506400</v>
      </c>
      <c r="BD738">
        <v>471</v>
      </c>
    </row>
    <row r="739" spans="1:56">
      <c r="A739" t="s">
        <v>752</v>
      </c>
      <c r="B739" t="s">
        <v>143</v>
      </c>
      <c r="C739">
        <v>2020</v>
      </c>
      <c r="E739">
        <v>2020</v>
      </c>
      <c r="F739" t="s">
        <v>27</v>
      </c>
      <c r="H739">
        <v>5</v>
      </c>
      <c r="I739">
        <v>2</v>
      </c>
      <c r="L739" t="s">
        <v>24</v>
      </c>
      <c r="U739">
        <v>20</v>
      </c>
      <c r="AB739" t="s">
        <v>145</v>
      </c>
      <c r="AD739" t="s">
        <v>33</v>
      </c>
      <c r="AF739">
        <v>0.157</v>
      </c>
      <c r="AG739">
        <v>10</v>
      </c>
      <c r="AK739" t="s">
        <v>709</v>
      </c>
      <c r="AL739" t="s">
        <v>597</v>
      </c>
      <c r="AM739">
        <v>741.39724999999999</v>
      </c>
      <c r="AO739" t="s">
        <v>35</v>
      </c>
      <c r="AW739">
        <v>13753.2</v>
      </c>
      <c r="AY739">
        <v>275064</v>
      </c>
      <c r="AZ739">
        <v>27506400</v>
      </c>
      <c r="BD739">
        <v>437</v>
      </c>
    </row>
    <row r="740" spans="1:56">
      <c r="A740" t="s">
        <v>752</v>
      </c>
      <c r="B740" t="s">
        <v>143</v>
      </c>
      <c r="C740">
        <v>2020</v>
      </c>
      <c r="E740">
        <v>2020</v>
      </c>
      <c r="F740" t="s">
        <v>27</v>
      </c>
      <c r="H740">
        <v>100</v>
      </c>
      <c r="I740">
        <v>3</v>
      </c>
      <c r="L740" t="s">
        <v>24</v>
      </c>
      <c r="U740">
        <v>20</v>
      </c>
      <c r="AB740" t="s">
        <v>146</v>
      </c>
      <c r="AD740" t="s">
        <v>33</v>
      </c>
      <c r="AF740">
        <v>0.193</v>
      </c>
      <c r="AG740">
        <v>300</v>
      </c>
      <c r="AK740" t="s">
        <v>709</v>
      </c>
      <c r="AL740" t="s">
        <v>597</v>
      </c>
      <c r="AM740">
        <v>741.39724999999999</v>
      </c>
      <c r="AO740" t="s">
        <v>35</v>
      </c>
      <c r="AW740">
        <v>507204</v>
      </c>
      <c r="AY740">
        <v>10144080</v>
      </c>
      <c r="AZ740">
        <v>33813600</v>
      </c>
      <c r="BD740">
        <v>160</v>
      </c>
    </row>
    <row r="741" spans="1:56">
      <c r="A741" t="s">
        <v>752</v>
      </c>
      <c r="B741" t="s">
        <v>143</v>
      </c>
      <c r="C741">
        <v>2020</v>
      </c>
      <c r="E741">
        <v>2020</v>
      </c>
      <c r="F741" t="s">
        <v>27</v>
      </c>
      <c r="H741">
        <v>100</v>
      </c>
      <c r="I741">
        <v>5</v>
      </c>
      <c r="L741" t="s">
        <v>24</v>
      </c>
      <c r="U741">
        <v>20</v>
      </c>
      <c r="AB741" t="s">
        <v>147</v>
      </c>
      <c r="AD741" t="s">
        <v>33</v>
      </c>
      <c r="AF741">
        <v>0.193</v>
      </c>
      <c r="AG741">
        <v>500</v>
      </c>
      <c r="AK741" t="s">
        <v>709</v>
      </c>
      <c r="AL741" t="s">
        <v>597</v>
      </c>
      <c r="AM741">
        <v>741.39724999999999</v>
      </c>
      <c r="AO741" t="s">
        <v>35</v>
      </c>
      <c r="AW741">
        <v>845340</v>
      </c>
      <c r="AY741">
        <v>16906800</v>
      </c>
      <c r="AZ741">
        <v>33813600</v>
      </c>
      <c r="BD741">
        <v>190</v>
      </c>
    </row>
    <row r="742" spans="1:56">
      <c r="A742" t="s">
        <v>720</v>
      </c>
      <c r="B742" t="s">
        <v>44</v>
      </c>
      <c r="C742">
        <v>2020</v>
      </c>
      <c r="E742">
        <v>2020</v>
      </c>
      <c r="F742" t="s">
        <v>27</v>
      </c>
      <c r="G742" t="s">
        <v>163</v>
      </c>
      <c r="H742">
        <v>5</v>
      </c>
      <c r="I742">
        <v>1</v>
      </c>
      <c r="J742" t="s">
        <v>292</v>
      </c>
      <c r="L742" t="s">
        <v>24</v>
      </c>
      <c r="U742">
        <v>20</v>
      </c>
      <c r="AB742" t="s">
        <v>293</v>
      </c>
      <c r="AD742" t="s">
        <v>33</v>
      </c>
      <c r="AF742">
        <v>5.0000000000000001E-3</v>
      </c>
      <c r="AG742">
        <v>5</v>
      </c>
      <c r="AK742" t="s">
        <v>709</v>
      </c>
      <c r="AL742" t="s">
        <v>597</v>
      </c>
      <c r="AM742">
        <v>741.39724999999999</v>
      </c>
      <c r="AO742" t="s">
        <v>20</v>
      </c>
      <c r="AW742">
        <v>219</v>
      </c>
      <c r="AY742">
        <v>4380</v>
      </c>
      <c r="AZ742">
        <v>876000</v>
      </c>
      <c r="BD742">
        <v>2920</v>
      </c>
    </row>
    <row r="743" spans="1:56">
      <c r="A743" t="s">
        <v>720</v>
      </c>
      <c r="B743" t="s">
        <v>44</v>
      </c>
      <c r="C743">
        <v>2020</v>
      </c>
      <c r="E743">
        <v>2020</v>
      </c>
      <c r="F743" t="s">
        <v>27</v>
      </c>
      <c r="G743" t="s">
        <v>163</v>
      </c>
      <c r="H743">
        <v>5</v>
      </c>
      <c r="I743">
        <v>1</v>
      </c>
      <c r="J743" t="s">
        <v>292</v>
      </c>
      <c r="L743" t="s">
        <v>24</v>
      </c>
      <c r="U743">
        <v>20</v>
      </c>
      <c r="AB743" t="s">
        <v>294</v>
      </c>
      <c r="AD743" t="s">
        <v>33</v>
      </c>
      <c r="AF743">
        <v>0.09</v>
      </c>
      <c r="AG743">
        <v>5</v>
      </c>
      <c r="AK743" t="s">
        <v>709</v>
      </c>
      <c r="AL743" t="s">
        <v>597</v>
      </c>
      <c r="AM743">
        <v>741.39724999999999</v>
      </c>
      <c r="AO743" t="s">
        <v>20</v>
      </c>
      <c r="AW743">
        <v>3942</v>
      </c>
      <c r="AY743">
        <v>78840</v>
      </c>
      <c r="AZ743">
        <v>15768000</v>
      </c>
      <c r="BD743">
        <v>162</v>
      </c>
    </row>
    <row r="744" spans="1:56">
      <c r="A744" t="s">
        <v>720</v>
      </c>
      <c r="B744" t="s">
        <v>44</v>
      </c>
      <c r="C744">
        <v>2020</v>
      </c>
      <c r="E744">
        <v>2020</v>
      </c>
      <c r="F744" t="s">
        <v>27</v>
      </c>
      <c r="G744" t="s">
        <v>163</v>
      </c>
      <c r="H744">
        <v>5</v>
      </c>
      <c r="I744">
        <v>1</v>
      </c>
      <c r="J744" t="s">
        <v>292</v>
      </c>
      <c r="L744" t="s">
        <v>24</v>
      </c>
      <c r="U744">
        <v>20</v>
      </c>
      <c r="AB744" t="s">
        <v>295</v>
      </c>
      <c r="AD744" t="s">
        <v>33</v>
      </c>
      <c r="AF744">
        <v>0.20499999999999999</v>
      </c>
      <c r="AG744">
        <v>5</v>
      </c>
      <c r="AK744" t="s">
        <v>709</v>
      </c>
      <c r="AL744" t="s">
        <v>597</v>
      </c>
      <c r="AM744">
        <v>741.39724999999999</v>
      </c>
      <c r="AO744" t="s">
        <v>20</v>
      </c>
      <c r="AW744">
        <v>8979</v>
      </c>
      <c r="AY744">
        <v>179580</v>
      </c>
      <c r="AZ744">
        <v>35916000</v>
      </c>
      <c r="BD744">
        <v>71.3</v>
      </c>
    </row>
    <row r="745" spans="1:56">
      <c r="A745" t="s">
        <v>720</v>
      </c>
      <c r="B745" t="s">
        <v>44</v>
      </c>
      <c r="C745">
        <v>2020</v>
      </c>
      <c r="E745">
        <v>2020</v>
      </c>
      <c r="F745" t="s">
        <v>27</v>
      </c>
      <c r="G745" t="s">
        <v>163</v>
      </c>
      <c r="H745">
        <v>5</v>
      </c>
      <c r="I745">
        <v>1</v>
      </c>
      <c r="J745" t="s">
        <v>292</v>
      </c>
      <c r="L745" t="s">
        <v>24</v>
      </c>
      <c r="U745">
        <v>20</v>
      </c>
      <c r="AB745" t="s">
        <v>296</v>
      </c>
      <c r="AD745" t="s">
        <v>33</v>
      </c>
      <c r="AF745">
        <v>5.0000000000000001E-3</v>
      </c>
      <c r="AG745">
        <v>5</v>
      </c>
      <c r="AK745" t="s">
        <v>709</v>
      </c>
      <c r="AL745" t="s">
        <v>597</v>
      </c>
      <c r="AM745">
        <v>741.39724999999999</v>
      </c>
      <c r="AO745" t="s">
        <v>20</v>
      </c>
      <c r="AW745">
        <v>219</v>
      </c>
      <c r="AY745">
        <v>4380</v>
      </c>
      <c r="AZ745">
        <v>876000</v>
      </c>
      <c r="BD745">
        <v>2270</v>
      </c>
    </row>
    <row r="746" spans="1:56">
      <c r="A746" t="s">
        <v>720</v>
      </c>
      <c r="B746" t="s">
        <v>44</v>
      </c>
      <c r="C746">
        <v>2020</v>
      </c>
      <c r="E746">
        <v>2020</v>
      </c>
      <c r="F746" t="s">
        <v>27</v>
      </c>
      <c r="G746" t="s">
        <v>163</v>
      </c>
      <c r="H746">
        <v>5</v>
      </c>
      <c r="I746">
        <v>1</v>
      </c>
      <c r="J746" t="s">
        <v>292</v>
      </c>
      <c r="L746" t="s">
        <v>24</v>
      </c>
      <c r="U746">
        <v>20</v>
      </c>
      <c r="AB746" t="s">
        <v>297</v>
      </c>
      <c r="AD746" t="s">
        <v>33</v>
      </c>
      <c r="AF746">
        <v>0.09</v>
      </c>
      <c r="AG746">
        <v>5</v>
      </c>
      <c r="AK746" t="s">
        <v>709</v>
      </c>
      <c r="AL746" t="s">
        <v>597</v>
      </c>
      <c r="AM746">
        <v>741.39724999999999</v>
      </c>
      <c r="AO746" t="s">
        <v>20</v>
      </c>
      <c r="AW746">
        <v>3942</v>
      </c>
      <c r="AY746">
        <v>78840</v>
      </c>
      <c r="AZ746">
        <v>15768000</v>
      </c>
      <c r="BD746">
        <v>126</v>
      </c>
    </row>
    <row r="747" spans="1:56">
      <c r="A747" t="s">
        <v>720</v>
      </c>
      <c r="B747" t="s">
        <v>44</v>
      </c>
      <c r="C747">
        <v>2020</v>
      </c>
      <c r="E747">
        <v>2020</v>
      </c>
      <c r="F747" t="s">
        <v>27</v>
      </c>
      <c r="G747" t="s">
        <v>163</v>
      </c>
      <c r="H747">
        <v>5</v>
      </c>
      <c r="I747">
        <v>1</v>
      </c>
      <c r="J747" t="s">
        <v>292</v>
      </c>
      <c r="L747" t="s">
        <v>24</v>
      </c>
      <c r="U747">
        <v>20</v>
      </c>
      <c r="AB747" t="s">
        <v>298</v>
      </c>
      <c r="AD747" t="s">
        <v>33</v>
      </c>
      <c r="AF747">
        <v>0.20499999999999999</v>
      </c>
      <c r="AG747">
        <v>5</v>
      </c>
      <c r="AK747" t="s">
        <v>709</v>
      </c>
      <c r="AL747" t="s">
        <v>597</v>
      </c>
      <c r="AM747">
        <v>741.39724999999999</v>
      </c>
      <c r="AO747" t="s">
        <v>20</v>
      </c>
      <c r="AW747">
        <v>8979</v>
      </c>
      <c r="AY747">
        <v>179580</v>
      </c>
      <c r="AZ747">
        <v>35916000</v>
      </c>
      <c r="BD747">
        <v>55.5</v>
      </c>
    </row>
    <row r="748" spans="1:56">
      <c r="A748" t="s">
        <v>715</v>
      </c>
      <c r="B748" t="s">
        <v>18</v>
      </c>
      <c r="C748">
        <v>2020</v>
      </c>
      <c r="E748">
        <v>2020</v>
      </c>
      <c r="F748" t="s">
        <v>27</v>
      </c>
      <c r="G748" t="s">
        <v>19</v>
      </c>
      <c r="H748">
        <v>1500</v>
      </c>
      <c r="I748">
        <v>33</v>
      </c>
      <c r="L748" t="s">
        <v>24</v>
      </c>
      <c r="Q748">
        <v>10490830</v>
      </c>
      <c r="S748">
        <v>0.21</v>
      </c>
      <c r="U748">
        <v>20</v>
      </c>
      <c r="AB748" t="s">
        <v>306</v>
      </c>
      <c r="AD748" t="s">
        <v>22</v>
      </c>
      <c r="AF748">
        <v>2.7311932000000001E-2</v>
      </c>
      <c r="AG748">
        <v>49500</v>
      </c>
      <c r="AK748" t="s">
        <v>709</v>
      </c>
      <c r="AL748" t="s">
        <v>597</v>
      </c>
      <c r="AM748">
        <v>741.39724999999999</v>
      </c>
      <c r="AO748" t="s">
        <v>20</v>
      </c>
      <c r="AW748">
        <v>11843000</v>
      </c>
      <c r="AY748">
        <v>236860000</v>
      </c>
      <c r="AZ748">
        <v>4785050.5050505102</v>
      </c>
      <c r="BD748">
        <v>5.03</v>
      </c>
    </row>
    <row r="749" spans="1:56">
      <c r="A749" t="s">
        <v>715</v>
      </c>
      <c r="B749" t="s">
        <v>18</v>
      </c>
      <c r="C749">
        <v>2020</v>
      </c>
      <c r="E749">
        <v>2020</v>
      </c>
      <c r="F749" t="s">
        <v>27</v>
      </c>
      <c r="G749" t="s">
        <v>19</v>
      </c>
      <c r="H749">
        <v>1500</v>
      </c>
      <c r="I749">
        <v>33</v>
      </c>
      <c r="L749" t="s">
        <v>24</v>
      </c>
      <c r="AB749" t="s">
        <v>307</v>
      </c>
      <c r="AD749" t="s">
        <v>22</v>
      </c>
      <c r="AG749">
        <v>49500</v>
      </c>
      <c r="AK749" t="s">
        <v>709</v>
      </c>
      <c r="AL749" t="s">
        <v>597</v>
      </c>
      <c r="AM749">
        <v>741.39724999999999</v>
      </c>
      <c r="AO749" t="s">
        <v>20</v>
      </c>
      <c r="BD749">
        <v>5.58</v>
      </c>
    </row>
    <row r="750" spans="1:56">
      <c r="A750" t="s">
        <v>715</v>
      </c>
      <c r="B750" t="s">
        <v>18</v>
      </c>
      <c r="C750">
        <v>2020</v>
      </c>
      <c r="E750">
        <v>2020</v>
      </c>
      <c r="F750" t="s">
        <v>27</v>
      </c>
      <c r="G750" t="s">
        <v>19</v>
      </c>
      <c r="H750">
        <v>1500</v>
      </c>
      <c r="I750">
        <v>33</v>
      </c>
      <c r="L750" t="s">
        <v>24</v>
      </c>
      <c r="AB750" t="s">
        <v>308</v>
      </c>
      <c r="AD750" t="s">
        <v>22</v>
      </c>
      <c r="AG750">
        <v>49500</v>
      </c>
      <c r="AK750" t="s">
        <v>709</v>
      </c>
      <c r="AL750" t="s">
        <v>597</v>
      </c>
      <c r="AM750">
        <v>741.39724999999999</v>
      </c>
      <c r="AO750" t="s">
        <v>20</v>
      </c>
      <c r="BD750">
        <v>4.63</v>
      </c>
    </row>
    <row r="751" spans="1:56">
      <c r="A751" t="s">
        <v>715</v>
      </c>
      <c r="B751" t="s">
        <v>18</v>
      </c>
      <c r="C751">
        <v>2020</v>
      </c>
      <c r="E751">
        <v>2020</v>
      </c>
      <c r="F751" t="s">
        <v>27</v>
      </c>
      <c r="G751" t="s">
        <v>19</v>
      </c>
      <c r="H751">
        <v>1500</v>
      </c>
      <c r="I751">
        <v>33</v>
      </c>
      <c r="L751" t="s">
        <v>24</v>
      </c>
      <c r="AB751" t="s">
        <v>309</v>
      </c>
      <c r="AD751" t="s">
        <v>22</v>
      </c>
      <c r="AG751">
        <v>49500</v>
      </c>
      <c r="AK751" t="s">
        <v>709</v>
      </c>
      <c r="AL751" t="s">
        <v>597</v>
      </c>
      <c r="AM751">
        <v>741.39724999999999</v>
      </c>
      <c r="AO751" t="s">
        <v>20</v>
      </c>
      <c r="BD751">
        <v>2.78</v>
      </c>
    </row>
    <row r="752" spans="1:56">
      <c r="A752" t="s">
        <v>715</v>
      </c>
      <c r="B752" t="s">
        <v>18</v>
      </c>
      <c r="C752">
        <v>2020</v>
      </c>
      <c r="E752">
        <v>2020</v>
      </c>
      <c r="F752" t="s">
        <v>27</v>
      </c>
      <c r="G752" t="s">
        <v>19</v>
      </c>
      <c r="H752">
        <v>1500</v>
      </c>
      <c r="I752">
        <v>33</v>
      </c>
      <c r="L752" t="s">
        <v>24</v>
      </c>
      <c r="AB752" t="s">
        <v>310</v>
      </c>
      <c r="AD752" t="s">
        <v>22</v>
      </c>
      <c r="AG752">
        <v>49500</v>
      </c>
      <c r="AK752" t="s">
        <v>709</v>
      </c>
      <c r="AL752" t="s">
        <v>597</v>
      </c>
      <c r="AM752">
        <v>741.39724999999999</v>
      </c>
      <c r="AO752" t="s">
        <v>20</v>
      </c>
      <c r="BD752">
        <v>6.03</v>
      </c>
    </row>
    <row r="753" spans="1:56">
      <c r="A753" t="s">
        <v>715</v>
      </c>
      <c r="B753" t="s">
        <v>18</v>
      </c>
      <c r="C753">
        <v>2020</v>
      </c>
      <c r="E753">
        <v>2020</v>
      </c>
      <c r="F753" t="s">
        <v>27</v>
      </c>
      <c r="G753" t="s">
        <v>19</v>
      </c>
      <c r="H753">
        <v>1500</v>
      </c>
      <c r="I753">
        <v>33</v>
      </c>
      <c r="L753" t="s">
        <v>24</v>
      </c>
      <c r="AB753" t="s">
        <v>311</v>
      </c>
      <c r="AD753" t="s">
        <v>22</v>
      </c>
      <c r="AG753">
        <v>49500</v>
      </c>
      <c r="AK753" t="s">
        <v>709</v>
      </c>
      <c r="AL753" t="s">
        <v>597</v>
      </c>
      <c r="AM753">
        <v>741.39724999999999</v>
      </c>
      <c r="AO753" t="s">
        <v>20</v>
      </c>
      <c r="BD753">
        <v>5.0199999999999996</v>
      </c>
    </row>
    <row r="754" spans="1:56">
      <c r="A754" t="s">
        <v>715</v>
      </c>
      <c r="B754" t="s">
        <v>18</v>
      </c>
      <c r="C754">
        <v>2020</v>
      </c>
      <c r="E754">
        <v>2020</v>
      </c>
      <c r="F754" t="s">
        <v>27</v>
      </c>
      <c r="G754" t="s">
        <v>19</v>
      </c>
      <c r="H754">
        <v>1500</v>
      </c>
      <c r="I754">
        <v>33</v>
      </c>
      <c r="L754" t="s">
        <v>24</v>
      </c>
      <c r="AB754" t="s">
        <v>312</v>
      </c>
      <c r="AD754" t="s">
        <v>22</v>
      </c>
      <c r="AG754">
        <v>49500</v>
      </c>
      <c r="AK754" t="s">
        <v>709</v>
      </c>
      <c r="AL754" t="s">
        <v>597</v>
      </c>
      <c r="AM754">
        <v>741.39724999999999</v>
      </c>
      <c r="AO754" t="s">
        <v>20</v>
      </c>
      <c r="BD754">
        <v>3</v>
      </c>
    </row>
    <row r="755" spans="1:56">
      <c r="A755" t="s">
        <v>715</v>
      </c>
      <c r="B755" t="s">
        <v>18</v>
      </c>
      <c r="C755">
        <v>2020</v>
      </c>
      <c r="E755">
        <v>2020</v>
      </c>
      <c r="F755" t="s">
        <v>27</v>
      </c>
      <c r="G755" t="s">
        <v>19</v>
      </c>
      <c r="H755">
        <v>1500</v>
      </c>
      <c r="I755">
        <v>33</v>
      </c>
      <c r="L755" t="s">
        <v>24</v>
      </c>
      <c r="AB755" t="s">
        <v>313</v>
      </c>
      <c r="AD755" t="s">
        <v>22</v>
      </c>
      <c r="AG755">
        <v>49500</v>
      </c>
      <c r="AK755" t="s">
        <v>709</v>
      </c>
      <c r="AL755" t="s">
        <v>597</v>
      </c>
      <c r="AM755">
        <v>741.39724999999999</v>
      </c>
      <c r="AO755" t="s">
        <v>20</v>
      </c>
      <c r="BD755">
        <v>6.99</v>
      </c>
    </row>
    <row r="756" spans="1:56">
      <c r="A756" t="s">
        <v>715</v>
      </c>
      <c r="B756" t="s">
        <v>18</v>
      </c>
      <c r="C756">
        <v>2020</v>
      </c>
      <c r="E756">
        <v>2020</v>
      </c>
      <c r="F756" t="s">
        <v>27</v>
      </c>
      <c r="G756" t="s">
        <v>19</v>
      </c>
      <c r="H756">
        <v>1500</v>
      </c>
      <c r="I756">
        <v>33</v>
      </c>
      <c r="L756" t="s">
        <v>24</v>
      </c>
      <c r="AB756" t="s">
        <v>314</v>
      </c>
      <c r="AD756" t="s">
        <v>22</v>
      </c>
      <c r="AG756">
        <v>49500</v>
      </c>
      <c r="AK756" t="s">
        <v>709</v>
      </c>
      <c r="AL756" t="s">
        <v>597</v>
      </c>
      <c r="AM756">
        <v>741.39724999999999</v>
      </c>
      <c r="AO756" t="s">
        <v>20</v>
      </c>
      <c r="BD756">
        <v>5.81</v>
      </c>
    </row>
    <row r="757" spans="1:56">
      <c r="A757" t="s">
        <v>715</v>
      </c>
      <c r="B757" t="s">
        <v>18</v>
      </c>
      <c r="C757">
        <v>2020</v>
      </c>
      <c r="E757">
        <v>2020</v>
      </c>
      <c r="F757" t="s">
        <v>27</v>
      </c>
      <c r="G757" t="s">
        <v>19</v>
      </c>
      <c r="H757">
        <v>1500</v>
      </c>
      <c r="I757">
        <v>33</v>
      </c>
      <c r="L757" t="s">
        <v>24</v>
      </c>
      <c r="AB757" t="s">
        <v>315</v>
      </c>
      <c r="AD757" t="s">
        <v>22</v>
      </c>
      <c r="AG757">
        <v>49500</v>
      </c>
      <c r="AK757" t="s">
        <v>709</v>
      </c>
      <c r="AL757" t="s">
        <v>597</v>
      </c>
      <c r="AM757">
        <v>741.39724999999999</v>
      </c>
      <c r="AO757" t="s">
        <v>20</v>
      </c>
      <c r="BD757">
        <v>3.48</v>
      </c>
    </row>
    <row r="758" spans="1:56">
      <c r="A758" t="s">
        <v>760</v>
      </c>
      <c r="B758" t="s">
        <v>112</v>
      </c>
      <c r="C758">
        <v>2021</v>
      </c>
      <c r="E758">
        <v>2021</v>
      </c>
      <c r="G758" t="s">
        <v>19</v>
      </c>
      <c r="H758">
        <v>1500</v>
      </c>
      <c r="I758">
        <v>33</v>
      </c>
      <c r="L758" t="s">
        <v>24</v>
      </c>
      <c r="Q758">
        <v>18701290</v>
      </c>
      <c r="S758">
        <v>0.38</v>
      </c>
      <c r="U758">
        <v>20</v>
      </c>
      <c r="AD758" t="s">
        <v>33</v>
      </c>
      <c r="AF758">
        <v>0.328310502</v>
      </c>
      <c r="AG758">
        <v>49500</v>
      </c>
      <c r="AK758" t="s">
        <v>709</v>
      </c>
      <c r="AL758" t="s">
        <v>597</v>
      </c>
      <c r="AM758">
        <v>741.39724999999999</v>
      </c>
      <c r="AO758" t="s">
        <v>20</v>
      </c>
      <c r="AW758">
        <v>142362000</v>
      </c>
      <c r="AY758">
        <v>2847240000</v>
      </c>
      <c r="AZ758">
        <v>57520000</v>
      </c>
      <c r="BD758">
        <v>6.57</v>
      </c>
    </row>
    <row r="759" spans="1:56">
      <c r="A759" t="s">
        <v>753</v>
      </c>
      <c r="B759" t="s">
        <v>141</v>
      </c>
      <c r="C759">
        <v>2021</v>
      </c>
      <c r="E759">
        <v>2021</v>
      </c>
      <c r="F759" t="s">
        <v>27</v>
      </c>
      <c r="G759" t="s">
        <v>19</v>
      </c>
      <c r="H759">
        <v>2000</v>
      </c>
      <c r="I759">
        <v>15</v>
      </c>
      <c r="J759" t="s">
        <v>142</v>
      </c>
      <c r="L759" t="s">
        <v>24</v>
      </c>
      <c r="N759">
        <v>3.97</v>
      </c>
      <c r="P759">
        <v>1.1000000000000001</v>
      </c>
      <c r="Q759">
        <v>9443975</v>
      </c>
      <c r="S759">
        <v>0.31</v>
      </c>
      <c r="U759">
        <v>20</v>
      </c>
      <c r="Z759">
        <v>0.1</v>
      </c>
      <c r="AD759" t="s">
        <v>33</v>
      </c>
      <c r="AF759">
        <v>0.23581050200000001</v>
      </c>
      <c r="AG759">
        <v>30000</v>
      </c>
      <c r="AH759">
        <v>119212485</v>
      </c>
      <c r="AK759" t="s">
        <v>709</v>
      </c>
      <c r="AL759" t="s">
        <v>597</v>
      </c>
      <c r="AM759">
        <v>741.39724999999999</v>
      </c>
      <c r="AO759" t="s">
        <v>20</v>
      </c>
      <c r="AQ759">
        <v>33114579</v>
      </c>
      <c r="AS759">
        <v>9934373.8000000007</v>
      </c>
      <c r="AU759">
        <v>0.01</v>
      </c>
      <c r="AW759">
        <v>61971000</v>
      </c>
      <c r="AY759">
        <v>1239420000</v>
      </c>
      <c r="AZ759">
        <v>41314000</v>
      </c>
      <c r="BB759">
        <v>0.03</v>
      </c>
      <c r="BD759">
        <v>7.62</v>
      </c>
    </row>
    <row r="760" spans="1:56">
      <c r="A760" t="s">
        <v>740</v>
      </c>
      <c r="B760" t="s">
        <v>215</v>
      </c>
      <c r="C760">
        <v>2021</v>
      </c>
      <c r="D760">
        <v>2004</v>
      </c>
      <c r="E760">
        <v>2004</v>
      </c>
      <c r="F760" t="s">
        <v>74</v>
      </c>
      <c r="G760" t="s">
        <v>216</v>
      </c>
      <c r="H760">
        <v>1300</v>
      </c>
      <c r="I760">
        <v>15</v>
      </c>
      <c r="J760" t="s">
        <v>217</v>
      </c>
      <c r="L760" t="s">
        <v>24</v>
      </c>
      <c r="M760">
        <v>60</v>
      </c>
      <c r="Q760">
        <v>18510055</v>
      </c>
      <c r="S760">
        <v>0.95</v>
      </c>
      <c r="U760">
        <v>20</v>
      </c>
      <c r="AD760" t="s">
        <v>33</v>
      </c>
      <c r="AE760">
        <v>60</v>
      </c>
      <c r="AF760">
        <v>0.42</v>
      </c>
      <c r="AG760">
        <v>19500</v>
      </c>
      <c r="AK760" t="s">
        <v>709</v>
      </c>
      <c r="AL760" t="s">
        <v>597</v>
      </c>
      <c r="AM760">
        <v>46.3964675</v>
      </c>
      <c r="AW760">
        <v>71744400</v>
      </c>
      <c r="AY760">
        <v>1434888000</v>
      </c>
      <c r="AZ760">
        <v>73584000</v>
      </c>
      <c r="BD760">
        <v>12.9</v>
      </c>
    </row>
    <row r="761" spans="1:56">
      <c r="A761" t="s">
        <v>732</v>
      </c>
      <c r="B761" t="s">
        <v>18</v>
      </c>
      <c r="C761">
        <v>2021</v>
      </c>
      <c r="E761">
        <v>2021</v>
      </c>
      <c r="F761" t="s">
        <v>27</v>
      </c>
      <c r="G761" t="s">
        <v>19</v>
      </c>
      <c r="H761">
        <v>2000</v>
      </c>
      <c r="I761">
        <v>20</v>
      </c>
      <c r="L761" t="s">
        <v>24</v>
      </c>
      <c r="Q761">
        <v>52331000</v>
      </c>
      <c r="R761">
        <v>6930.5</v>
      </c>
      <c r="S761">
        <v>1.31</v>
      </c>
      <c r="U761">
        <v>20</v>
      </c>
      <c r="AB761" t="s">
        <v>238</v>
      </c>
      <c r="AD761" t="s">
        <v>33</v>
      </c>
      <c r="AF761">
        <v>0.26455479500000001</v>
      </c>
      <c r="AG761">
        <v>40000</v>
      </c>
      <c r="AK761" t="s">
        <v>709</v>
      </c>
      <c r="AL761" t="s">
        <v>597</v>
      </c>
      <c r="AM761">
        <v>741.39724999999999</v>
      </c>
      <c r="AO761" t="s">
        <v>20</v>
      </c>
      <c r="AW761">
        <v>92700000</v>
      </c>
      <c r="AY761">
        <v>1854000000</v>
      </c>
      <c r="AZ761">
        <v>46350000</v>
      </c>
      <c r="BD761">
        <v>28.23</v>
      </c>
    </row>
    <row r="762" spans="1:56">
      <c r="A762" t="s">
        <v>732</v>
      </c>
      <c r="B762" t="s">
        <v>18</v>
      </c>
      <c r="C762">
        <v>2021</v>
      </c>
      <c r="E762">
        <v>2021</v>
      </c>
      <c r="F762" t="s">
        <v>27</v>
      </c>
      <c r="G762" t="s">
        <v>19</v>
      </c>
      <c r="H762">
        <v>2000</v>
      </c>
      <c r="I762">
        <v>20</v>
      </c>
      <c r="L762" t="s">
        <v>24</v>
      </c>
      <c r="Q762">
        <v>79171000</v>
      </c>
      <c r="S762">
        <v>0.99</v>
      </c>
      <c r="U762">
        <v>40</v>
      </c>
      <c r="AB762" t="s">
        <v>239</v>
      </c>
      <c r="AD762" t="s">
        <v>33</v>
      </c>
      <c r="AF762">
        <v>0.26455479500000001</v>
      </c>
      <c r="AG762">
        <v>40000</v>
      </c>
      <c r="AK762" t="s">
        <v>709</v>
      </c>
      <c r="AL762" t="s">
        <v>597</v>
      </c>
      <c r="AM762">
        <v>741.39724999999999</v>
      </c>
      <c r="AO762" t="s">
        <v>20</v>
      </c>
      <c r="AW762">
        <v>92700000</v>
      </c>
      <c r="AY762">
        <v>3708000000</v>
      </c>
      <c r="AZ762">
        <v>92700000</v>
      </c>
      <c r="BD762">
        <v>21.35</v>
      </c>
    </row>
    <row r="763" spans="1:56">
      <c r="A763" t="s">
        <v>732</v>
      </c>
      <c r="B763" t="s">
        <v>18</v>
      </c>
      <c r="C763">
        <v>2021</v>
      </c>
      <c r="E763">
        <v>2021</v>
      </c>
      <c r="F763" t="s">
        <v>27</v>
      </c>
      <c r="G763" t="s">
        <v>19</v>
      </c>
      <c r="H763">
        <v>2000</v>
      </c>
      <c r="I763">
        <v>20</v>
      </c>
      <c r="L763" t="s">
        <v>24</v>
      </c>
      <c r="Q763">
        <v>104496000</v>
      </c>
      <c r="S763">
        <v>0.87</v>
      </c>
      <c r="U763">
        <v>60</v>
      </c>
      <c r="AB763" t="s">
        <v>240</v>
      </c>
      <c r="AD763" t="s">
        <v>33</v>
      </c>
      <c r="AF763">
        <v>0.26455479500000001</v>
      </c>
      <c r="AG763">
        <v>40000</v>
      </c>
      <c r="AK763" t="s">
        <v>709</v>
      </c>
      <c r="AL763" t="s">
        <v>597</v>
      </c>
      <c r="AM763">
        <v>741.39724999999999</v>
      </c>
      <c r="AO763" t="s">
        <v>20</v>
      </c>
      <c r="AW763">
        <v>92700000</v>
      </c>
      <c r="AY763">
        <v>5562000000</v>
      </c>
      <c r="AZ763">
        <v>139050000</v>
      </c>
      <c r="BD763">
        <v>18.79</v>
      </c>
    </row>
    <row r="764" spans="1:56">
      <c r="A764" t="s">
        <v>732</v>
      </c>
      <c r="B764" t="s">
        <v>18</v>
      </c>
      <c r="C764">
        <v>2021</v>
      </c>
      <c r="E764">
        <v>2021</v>
      </c>
      <c r="F764" t="s">
        <v>27</v>
      </c>
      <c r="G764" t="s">
        <v>19</v>
      </c>
      <c r="H764">
        <v>2000</v>
      </c>
      <c r="I764">
        <v>20</v>
      </c>
      <c r="L764" t="s">
        <v>24</v>
      </c>
      <c r="Q764">
        <v>130871000</v>
      </c>
      <c r="S764">
        <v>0.82</v>
      </c>
      <c r="U764">
        <v>80</v>
      </c>
      <c r="AB764" t="s">
        <v>241</v>
      </c>
      <c r="AD764" t="s">
        <v>33</v>
      </c>
      <c r="AF764">
        <v>0.26455479500000001</v>
      </c>
      <c r="AG764">
        <v>40000</v>
      </c>
      <c r="AK764" t="s">
        <v>709</v>
      </c>
      <c r="AL764" t="s">
        <v>597</v>
      </c>
      <c r="AM764">
        <v>741.39724999999999</v>
      </c>
      <c r="AO764" t="s">
        <v>20</v>
      </c>
      <c r="AW764">
        <v>92700000</v>
      </c>
      <c r="AY764">
        <v>7416000000</v>
      </c>
      <c r="AZ764">
        <v>185400000</v>
      </c>
      <c r="BD764">
        <v>17.649999999999999</v>
      </c>
    </row>
    <row r="765" spans="1:56">
      <c r="A765" t="s">
        <v>732</v>
      </c>
      <c r="B765" t="s">
        <v>18</v>
      </c>
      <c r="C765">
        <v>2021</v>
      </c>
      <c r="E765">
        <v>2021</v>
      </c>
      <c r="F765" t="s">
        <v>27</v>
      </c>
      <c r="G765" t="s">
        <v>19</v>
      </c>
      <c r="H765">
        <v>2000</v>
      </c>
      <c r="I765">
        <v>20</v>
      </c>
      <c r="L765" t="s">
        <v>24</v>
      </c>
      <c r="Q765">
        <v>159691000</v>
      </c>
      <c r="S765">
        <v>0.8</v>
      </c>
      <c r="U765">
        <v>100</v>
      </c>
      <c r="AB765" t="s">
        <v>242</v>
      </c>
      <c r="AD765" t="s">
        <v>33</v>
      </c>
      <c r="AF765">
        <v>0.26455479500000001</v>
      </c>
      <c r="AG765">
        <v>40000</v>
      </c>
      <c r="AK765" t="s">
        <v>709</v>
      </c>
      <c r="AL765" t="s">
        <v>597</v>
      </c>
      <c r="AM765">
        <v>741.39724999999999</v>
      </c>
      <c r="AO765" t="s">
        <v>20</v>
      </c>
      <c r="AW765">
        <v>92700000</v>
      </c>
      <c r="AY765">
        <v>9270000000</v>
      </c>
      <c r="AZ765">
        <v>231750000</v>
      </c>
      <c r="BD765">
        <v>17.23</v>
      </c>
    </row>
    <row r="766" spans="1:56">
      <c r="A766" t="s">
        <v>732</v>
      </c>
      <c r="B766" t="s">
        <v>18</v>
      </c>
      <c r="C766">
        <v>2021</v>
      </c>
      <c r="E766">
        <v>2021</v>
      </c>
      <c r="F766" t="s">
        <v>27</v>
      </c>
      <c r="G766" t="s">
        <v>19</v>
      </c>
      <c r="H766">
        <v>2000</v>
      </c>
      <c r="I766">
        <v>20</v>
      </c>
      <c r="L766" t="s">
        <v>24</v>
      </c>
      <c r="Q766">
        <v>152398000</v>
      </c>
      <c r="S766">
        <v>0.76</v>
      </c>
      <c r="U766">
        <v>100</v>
      </c>
      <c r="AB766" t="s">
        <v>243</v>
      </c>
      <c r="AD766" t="s">
        <v>33</v>
      </c>
      <c r="AF766">
        <v>0.26455479500000001</v>
      </c>
      <c r="AG766">
        <v>40000</v>
      </c>
      <c r="AK766" t="s">
        <v>709</v>
      </c>
      <c r="AL766" t="s">
        <v>597</v>
      </c>
      <c r="AM766">
        <v>741.39724999999999</v>
      </c>
      <c r="AO766" t="s">
        <v>20</v>
      </c>
      <c r="AW766">
        <v>92700000</v>
      </c>
      <c r="AY766">
        <v>9270000000</v>
      </c>
      <c r="AZ766">
        <v>231750000</v>
      </c>
      <c r="BD766">
        <v>16.440000000000001</v>
      </c>
    </row>
    <row r="767" spans="1:56">
      <c r="A767" t="s">
        <v>724</v>
      </c>
      <c r="B767" t="s">
        <v>282</v>
      </c>
      <c r="C767">
        <v>2021</v>
      </c>
      <c r="E767">
        <v>2021</v>
      </c>
      <c r="F767" t="s">
        <v>27</v>
      </c>
      <c r="G767" t="s">
        <v>224</v>
      </c>
      <c r="H767">
        <v>811</v>
      </c>
      <c r="I767">
        <v>1</v>
      </c>
      <c r="L767" t="s">
        <v>24</v>
      </c>
      <c r="M767">
        <v>60</v>
      </c>
      <c r="Q767">
        <v>454000</v>
      </c>
      <c r="S767">
        <v>0.56000000000000005</v>
      </c>
      <c r="U767">
        <v>20</v>
      </c>
      <c r="AA767">
        <v>9.5</v>
      </c>
      <c r="AB767" t="s">
        <v>283</v>
      </c>
      <c r="AD767" t="s">
        <v>33</v>
      </c>
      <c r="AE767">
        <v>51</v>
      </c>
      <c r="AF767">
        <v>0.161442743</v>
      </c>
      <c r="AG767">
        <v>811</v>
      </c>
      <c r="AK767" t="s">
        <v>709</v>
      </c>
      <c r="AL767" t="s">
        <v>597</v>
      </c>
      <c r="AM767">
        <v>741.39724999999999</v>
      </c>
      <c r="AO767" t="s">
        <v>35</v>
      </c>
      <c r="AW767">
        <v>1146947.36842105</v>
      </c>
      <c r="AY767">
        <v>22938947.3684211</v>
      </c>
      <c r="AZ767">
        <v>28284768.641702902</v>
      </c>
      <c r="BD767">
        <v>19.79</v>
      </c>
    </row>
    <row r="768" spans="1:56">
      <c r="A768" t="s">
        <v>724</v>
      </c>
      <c r="B768" t="s">
        <v>282</v>
      </c>
      <c r="C768">
        <v>2021</v>
      </c>
      <c r="E768">
        <v>2021</v>
      </c>
      <c r="F768" t="s">
        <v>27</v>
      </c>
      <c r="G768" t="s">
        <v>224</v>
      </c>
      <c r="H768">
        <v>811</v>
      </c>
      <c r="I768">
        <v>1</v>
      </c>
      <c r="L768" t="s">
        <v>24</v>
      </c>
      <c r="M768">
        <v>80</v>
      </c>
      <c r="Q768">
        <v>578000</v>
      </c>
      <c r="S768">
        <v>0.71</v>
      </c>
      <c r="U768">
        <v>20</v>
      </c>
      <c r="AA768">
        <v>10.4</v>
      </c>
      <c r="AB768" t="s">
        <v>284</v>
      </c>
      <c r="AD768" t="s">
        <v>33</v>
      </c>
      <c r="AE768">
        <v>51</v>
      </c>
      <c r="AF768">
        <v>0.187750361</v>
      </c>
      <c r="AG768">
        <v>811</v>
      </c>
      <c r="AK768" t="s">
        <v>709</v>
      </c>
      <c r="AL768" t="s">
        <v>597</v>
      </c>
      <c r="AM768">
        <v>741.39724999999999</v>
      </c>
      <c r="AO768" t="s">
        <v>35</v>
      </c>
      <c r="AW768">
        <v>1333846.15384615</v>
      </c>
      <c r="AY768">
        <v>26676923.076923098</v>
      </c>
      <c r="AZ768">
        <v>32893863.2267855</v>
      </c>
      <c r="BD768">
        <v>21.67</v>
      </c>
    </row>
    <row r="769" spans="1:56">
      <c r="A769" t="s">
        <v>724</v>
      </c>
      <c r="B769" t="s">
        <v>282</v>
      </c>
      <c r="C769">
        <v>2021</v>
      </c>
      <c r="E769">
        <v>2021</v>
      </c>
      <c r="F769" t="s">
        <v>27</v>
      </c>
      <c r="G769" t="s">
        <v>224</v>
      </c>
      <c r="H769">
        <v>2035</v>
      </c>
      <c r="I769">
        <v>1</v>
      </c>
      <c r="L769" t="s">
        <v>24</v>
      </c>
      <c r="M769">
        <v>60</v>
      </c>
      <c r="Q769">
        <v>831000</v>
      </c>
      <c r="S769">
        <v>0.41</v>
      </c>
      <c r="U769">
        <v>20</v>
      </c>
      <c r="AA769">
        <v>7.2</v>
      </c>
      <c r="AB769">
        <v>1</v>
      </c>
      <c r="AD769" t="s">
        <v>33</v>
      </c>
      <c r="AE769">
        <v>81</v>
      </c>
      <c r="AF769">
        <v>0.15538577200000001</v>
      </c>
      <c r="AG769">
        <v>2035</v>
      </c>
      <c r="AK769" t="s">
        <v>709</v>
      </c>
      <c r="AL769" t="s">
        <v>597</v>
      </c>
      <c r="AM769">
        <v>741.39724999999999</v>
      </c>
      <c r="AO769" t="s">
        <v>35</v>
      </c>
      <c r="AW769">
        <v>2770000</v>
      </c>
      <c r="AY769">
        <v>55400000</v>
      </c>
      <c r="AZ769">
        <v>27223587.2235872</v>
      </c>
      <c r="BD769">
        <v>15</v>
      </c>
    </row>
    <row r="770" spans="1:56">
      <c r="A770" t="s">
        <v>724</v>
      </c>
      <c r="B770" t="s">
        <v>282</v>
      </c>
      <c r="C770">
        <v>2021</v>
      </c>
      <c r="E770">
        <v>2021</v>
      </c>
      <c r="F770" t="s">
        <v>27</v>
      </c>
      <c r="G770" t="s">
        <v>224</v>
      </c>
      <c r="H770">
        <v>2027</v>
      </c>
      <c r="I770">
        <v>1</v>
      </c>
      <c r="L770" t="s">
        <v>24</v>
      </c>
      <c r="M770">
        <v>80</v>
      </c>
      <c r="Q770">
        <v>1049000</v>
      </c>
      <c r="S770">
        <v>0.52</v>
      </c>
      <c r="U770">
        <v>20</v>
      </c>
      <c r="AA770">
        <v>7.7</v>
      </c>
      <c r="AB770">
        <v>2</v>
      </c>
      <c r="AD770" t="s">
        <v>33</v>
      </c>
      <c r="AE770">
        <v>81</v>
      </c>
      <c r="AF770">
        <v>0.18413576500000001</v>
      </c>
      <c r="AG770">
        <v>2027</v>
      </c>
      <c r="AK770" t="s">
        <v>709</v>
      </c>
      <c r="AL770" t="s">
        <v>597</v>
      </c>
      <c r="AM770">
        <v>741.39724999999999</v>
      </c>
      <c r="AO770" t="s">
        <v>35</v>
      </c>
      <c r="AW770">
        <v>3269610.3896103902</v>
      </c>
      <c r="AY770">
        <v>65392207.7922078</v>
      </c>
      <c r="AZ770">
        <v>32260585.985302299</v>
      </c>
      <c r="BD770">
        <v>16.04</v>
      </c>
    </row>
    <row r="771" spans="1:56">
      <c r="A771" t="s">
        <v>724</v>
      </c>
      <c r="B771" t="s">
        <v>282</v>
      </c>
      <c r="C771">
        <v>2021</v>
      </c>
      <c r="E771">
        <v>2021</v>
      </c>
      <c r="F771" t="s">
        <v>27</v>
      </c>
      <c r="G771" t="s">
        <v>224</v>
      </c>
      <c r="H771">
        <v>2033</v>
      </c>
      <c r="I771">
        <v>1</v>
      </c>
      <c r="L771" t="s">
        <v>24</v>
      </c>
      <c r="M771">
        <v>100</v>
      </c>
      <c r="Q771">
        <v>1204000</v>
      </c>
      <c r="S771">
        <v>0.59</v>
      </c>
      <c r="U771">
        <v>20</v>
      </c>
      <c r="AA771">
        <v>8.1999999999999993</v>
      </c>
      <c r="AB771">
        <v>3</v>
      </c>
      <c r="AD771" t="s">
        <v>33</v>
      </c>
      <c r="AE771">
        <v>78</v>
      </c>
      <c r="AF771">
        <v>0.19787111099999999</v>
      </c>
      <c r="AG771">
        <v>2033</v>
      </c>
      <c r="AK771" t="s">
        <v>709</v>
      </c>
      <c r="AL771" t="s">
        <v>597</v>
      </c>
      <c r="AM771">
        <v>741.39724999999999</v>
      </c>
      <c r="AO771" t="s">
        <v>35</v>
      </c>
      <c r="AW771">
        <v>3523902.4390243902</v>
      </c>
      <c r="AY771">
        <v>70478048.780487806</v>
      </c>
      <c r="AZ771">
        <v>34667018.583614297</v>
      </c>
      <c r="BD771">
        <v>17.079999999999998</v>
      </c>
    </row>
    <row r="772" spans="1:56">
      <c r="A772" t="s">
        <v>724</v>
      </c>
      <c r="B772" t="s">
        <v>282</v>
      </c>
      <c r="C772">
        <v>2021</v>
      </c>
      <c r="E772">
        <v>2021</v>
      </c>
      <c r="F772" t="s">
        <v>27</v>
      </c>
      <c r="G772" t="s">
        <v>224</v>
      </c>
      <c r="H772">
        <v>2337</v>
      </c>
      <c r="I772">
        <v>1</v>
      </c>
      <c r="L772" t="s">
        <v>24</v>
      </c>
      <c r="M772">
        <v>60</v>
      </c>
      <c r="Q772">
        <v>835000</v>
      </c>
      <c r="S772">
        <v>0.36</v>
      </c>
      <c r="U772">
        <v>20</v>
      </c>
      <c r="AA772">
        <v>6.5</v>
      </c>
      <c r="AB772">
        <v>4</v>
      </c>
      <c r="AD772" t="s">
        <v>33</v>
      </c>
      <c r="AE772">
        <v>82</v>
      </c>
      <c r="AF772">
        <v>0.150598811</v>
      </c>
      <c r="AG772">
        <v>2337</v>
      </c>
      <c r="AK772" t="s">
        <v>709</v>
      </c>
      <c r="AL772" t="s">
        <v>597</v>
      </c>
      <c r="AM772">
        <v>741.39724999999999</v>
      </c>
      <c r="AO772" t="s">
        <v>35</v>
      </c>
      <c r="AW772">
        <v>3083076.9230769202</v>
      </c>
      <c r="AY772">
        <v>61661538.461538501</v>
      </c>
      <c r="AZ772">
        <v>26384911.622395601</v>
      </c>
      <c r="BD772">
        <v>13.54</v>
      </c>
    </row>
    <row r="773" spans="1:56">
      <c r="A773" t="s">
        <v>724</v>
      </c>
      <c r="B773" t="s">
        <v>282</v>
      </c>
      <c r="C773">
        <v>2021</v>
      </c>
      <c r="E773">
        <v>2021</v>
      </c>
      <c r="F773" t="s">
        <v>27</v>
      </c>
      <c r="G773" t="s">
        <v>224</v>
      </c>
      <c r="H773">
        <v>2341</v>
      </c>
      <c r="I773">
        <v>1</v>
      </c>
      <c r="L773" t="s">
        <v>24</v>
      </c>
      <c r="M773">
        <v>80</v>
      </c>
      <c r="Q773">
        <v>1065000</v>
      </c>
      <c r="S773">
        <v>0.45</v>
      </c>
      <c r="U773">
        <v>20</v>
      </c>
      <c r="AA773">
        <v>7</v>
      </c>
      <c r="AB773">
        <v>5</v>
      </c>
      <c r="AD773" t="s">
        <v>33</v>
      </c>
      <c r="AE773">
        <v>82</v>
      </c>
      <c r="AF773">
        <v>0.17805627700000001</v>
      </c>
      <c r="AG773">
        <v>2341</v>
      </c>
      <c r="AK773" t="s">
        <v>709</v>
      </c>
      <c r="AL773" t="s">
        <v>597</v>
      </c>
      <c r="AM773">
        <v>741.39724999999999</v>
      </c>
      <c r="AO773" t="s">
        <v>35</v>
      </c>
      <c r="AW773">
        <v>3651428.57142857</v>
      </c>
      <c r="AY773">
        <v>73028571.428571403</v>
      </c>
      <c r="AZ773">
        <v>31195459.815707602</v>
      </c>
      <c r="BD773">
        <v>14.58</v>
      </c>
    </row>
    <row r="774" spans="1:56">
      <c r="A774" t="s">
        <v>724</v>
      </c>
      <c r="B774" t="s">
        <v>282</v>
      </c>
      <c r="C774">
        <v>2021</v>
      </c>
      <c r="E774">
        <v>2021</v>
      </c>
      <c r="F774" t="s">
        <v>27</v>
      </c>
      <c r="G774" t="s">
        <v>224</v>
      </c>
      <c r="H774">
        <v>2342</v>
      </c>
      <c r="I774">
        <v>1</v>
      </c>
      <c r="L774" t="s">
        <v>24</v>
      </c>
      <c r="M774">
        <v>100</v>
      </c>
      <c r="Q774">
        <v>1555000</v>
      </c>
      <c r="S774">
        <v>0.66</v>
      </c>
      <c r="U774">
        <v>20</v>
      </c>
      <c r="AA774">
        <v>7.6</v>
      </c>
      <c r="AB774">
        <v>6</v>
      </c>
      <c r="AD774" t="s">
        <v>33</v>
      </c>
      <c r="AE774">
        <v>95</v>
      </c>
      <c r="AF774">
        <v>0.23935199200000001</v>
      </c>
      <c r="AG774">
        <v>2342</v>
      </c>
      <c r="AK774" t="s">
        <v>709</v>
      </c>
      <c r="AL774" t="s">
        <v>597</v>
      </c>
      <c r="AM774">
        <v>741.39724999999999</v>
      </c>
      <c r="AO774" t="s">
        <v>35</v>
      </c>
      <c r="AW774">
        <v>4910526.3157894704</v>
      </c>
      <c r="AY774">
        <v>98210526.315789506</v>
      </c>
      <c r="AZ774">
        <v>41934468.964897297</v>
      </c>
      <c r="BD774">
        <v>15.83</v>
      </c>
    </row>
    <row r="775" spans="1:56">
      <c r="A775" t="s">
        <v>724</v>
      </c>
      <c r="B775" t="s">
        <v>282</v>
      </c>
      <c r="C775">
        <v>2021</v>
      </c>
      <c r="E775">
        <v>2021</v>
      </c>
      <c r="F775" t="s">
        <v>27</v>
      </c>
      <c r="G775" t="s">
        <v>224</v>
      </c>
      <c r="H775">
        <v>2355</v>
      </c>
      <c r="I775">
        <v>1</v>
      </c>
      <c r="L775" t="s">
        <v>24</v>
      </c>
      <c r="M775">
        <v>120</v>
      </c>
      <c r="Q775">
        <v>1788000</v>
      </c>
      <c r="S775">
        <v>0.76</v>
      </c>
      <c r="U775">
        <v>20</v>
      </c>
      <c r="AA775">
        <v>8.1999999999999993</v>
      </c>
      <c r="AB775">
        <v>7</v>
      </c>
      <c r="AD775" t="s">
        <v>33</v>
      </c>
      <c r="AE775">
        <v>94</v>
      </c>
      <c r="AF775">
        <v>0.25367045399999999</v>
      </c>
      <c r="AG775">
        <v>2355</v>
      </c>
      <c r="AK775" t="s">
        <v>709</v>
      </c>
      <c r="AL775" t="s">
        <v>597</v>
      </c>
      <c r="AM775">
        <v>741.39724999999999</v>
      </c>
      <c r="AO775" t="s">
        <v>35</v>
      </c>
      <c r="AW775">
        <v>5233170.7317073196</v>
      </c>
      <c r="AY775">
        <v>104663414.634146</v>
      </c>
      <c r="AZ775">
        <v>44443063.538915597</v>
      </c>
      <c r="BD775">
        <v>17.079999999999998</v>
      </c>
    </row>
    <row r="776" spans="1:56">
      <c r="A776" t="s">
        <v>724</v>
      </c>
      <c r="B776" t="s">
        <v>282</v>
      </c>
      <c r="C776">
        <v>2021</v>
      </c>
      <c r="E776">
        <v>2021</v>
      </c>
      <c r="F776" t="s">
        <v>27</v>
      </c>
      <c r="G776" t="s">
        <v>224</v>
      </c>
      <c r="H776">
        <v>2371</v>
      </c>
      <c r="I776">
        <v>1</v>
      </c>
      <c r="L776" t="s">
        <v>24</v>
      </c>
      <c r="M776">
        <v>140</v>
      </c>
      <c r="Q776">
        <v>2118000</v>
      </c>
      <c r="S776">
        <v>0.89</v>
      </c>
      <c r="U776">
        <v>20</v>
      </c>
      <c r="AA776">
        <v>8.8000000000000007</v>
      </c>
      <c r="AB776">
        <v>8</v>
      </c>
      <c r="AD776" t="s">
        <v>33</v>
      </c>
      <c r="AE776">
        <v>97</v>
      </c>
      <c r="AF776">
        <v>0.27811144700000001</v>
      </c>
      <c r="AG776">
        <v>2371</v>
      </c>
      <c r="AK776" t="s">
        <v>709</v>
      </c>
      <c r="AL776" t="s">
        <v>597</v>
      </c>
      <c r="AM776">
        <v>741.39724999999999</v>
      </c>
      <c r="AO776" t="s">
        <v>35</v>
      </c>
      <c r="AW776">
        <v>5776363.6363636404</v>
      </c>
      <c r="AY776">
        <v>115527272.727273</v>
      </c>
      <c r="AZ776">
        <v>48725125.570338599</v>
      </c>
      <c r="BD776">
        <v>18.329999999999998</v>
      </c>
    </row>
    <row r="777" spans="1:56">
      <c r="A777" t="s">
        <v>724</v>
      </c>
      <c r="B777" t="s">
        <v>282</v>
      </c>
      <c r="C777">
        <v>2021</v>
      </c>
      <c r="E777">
        <v>2021</v>
      </c>
      <c r="F777" t="s">
        <v>27</v>
      </c>
      <c r="G777" t="s">
        <v>224</v>
      </c>
      <c r="H777">
        <v>2687</v>
      </c>
      <c r="I777">
        <v>1</v>
      </c>
      <c r="L777" t="s">
        <v>24</v>
      </c>
      <c r="M777">
        <v>80</v>
      </c>
      <c r="Q777">
        <v>1511000</v>
      </c>
      <c r="S777">
        <v>0.56000000000000005</v>
      </c>
      <c r="U777">
        <v>20</v>
      </c>
      <c r="AA777">
        <v>7.1</v>
      </c>
      <c r="AB777">
        <v>9</v>
      </c>
      <c r="AD777" t="s">
        <v>33</v>
      </c>
      <c r="AE777">
        <v>108</v>
      </c>
      <c r="AF777">
        <v>0.21699293</v>
      </c>
      <c r="AG777">
        <v>2687</v>
      </c>
      <c r="AK777" t="s">
        <v>709</v>
      </c>
      <c r="AL777" t="s">
        <v>597</v>
      </c>
      <c r="AM777">
        <v>741.39724999999999</v>
      </c>
      <c r="AO777" t="s">
        <v>35</v>
      </c>
      <c r="AW777">
        <v>5107605.63380282</v>
      </c>
      <c r="AY777">
        <v>102152112.676056</v>
      </c>
      <c r="AZ777">
        <v>38017161.397862397</v>
      </c>
      <c r="BD777">
        <v>14.79</v>
      </c>
    </row>
    <row r="778" spans="1:56">
      <c r="A778" t="s">
        <v>724</v>
      </c>
      <c r="B778" t="s">
        <v>282</v>
      </c>
      <c r="C778">
        <v>2021</v>
      </c>
      <c r="E778">
        <v>2021</v>
      </c>
      <c r="F778" t="s">
        <v>27</v>
      </c>
      <c r="G778" t="s">
        <v>224</v>
      </c>
      <c r="H778">
        <v>2687</v>
      </c>
      <c r="I778">
        <v>1</v>
      </c>
      <c r="L778" t="s">
        <v>24</v>
      </c>
      <c r="M778">
        <v>100</v>
      </c>
      <c r="Q778">
        <v>1909000</v>
      </c>
      <c r="S778">
        <v>0.71</v>
      </c>
      <c r="U778">
        <v>20</v>
      </c>
      <c r="AA778">
        <v>7.6</v>
      </c>
      <c r="AB778">
        <v>10</v>
      </c>
      <c r="AD778" t="s">
        <v>33</v>
      </c>
      <c r="AE778">
        <v>112</v>
      </c>
      <c r="AF778">
        <v>0.25611310700000001</v>
      </c>
      <c r="AG778">
        <v>2687</v>
      </c>
      <c r="AK778" t="s">
        <v>709</v>
      </c>
      <c r="AL778" t="s">
        <v>597</v>
      </c>
      <c r="AM778">
        <v>741.39724999999999</v>
      </c>
      <c r="AO778" t="s">
        <v>35</v>
      </c>
      <c r="AW778">
        <v>6028421.0526315803</v>
      </c>
      <c r="AY778">
        <v>120568421.052632</v>
      </c>
      <c r="AZ778">
        <v>44871016.394727103</v>
      </c>
      <c r="BD778">
        <v>15.83</v>
      </c>
    </row>
    <row r="779" spans="1:56">
      <c r="A779" t="s">
        <v>724</v>
      </c>
      <c r="B779" t="s">
        <v>282</v>
      </c>
      <c r="C779">
        <v>2021</v>
      </c>
      <c r="E779">
        <v>2021</v>
      </c>
      <c r="F779" t="s">
        <v>27</v>
      </c>
      <c r="G779" t="s">
        <v>224</v>
      </c>
      <c r="H779">
        <v>2781</v>
      </c>
      <c r="I779">
        <v>1</v>
      </c>
      <c r="L779" t="s">
        <v>24</v>
      </c>
      <c r="M779">
        <v>120</v>
      </c>
      <c r="Q779">
        <v>2221000</v>
      </c>
      <c r="S779">
        <v>0.8</v>
      </c>
      <c r="U779">
        <v>20</v>
      </c>
      <c r="AA779">
        <v>8</v>
      </c>
      <c r="AB779">
        <v>11</v>
      </c>
      <c r="AD779" t="s">
        <v>33</v>
      </c>
      <c r="AE779">
        <v>112</v>
      </c>
      <c r="AF779">
        <v>0.27350465200000001</v>
      </c>
      <c r="AG779">
        <v>2781</v>
      </c>
      <c r="AK779" t="s">
        <v>709</v>
      </c>
      <c r="AL779" t="s">
        <v>597</v>
      </c>
      <c r="AM779">
        <v>741.39724999999999</v>
      </c>
      <c r="AO779" t="s">
        <v>35</v>
      </c>
      <c r="AW779">
        <v>6663000</v>
      </c>
      <c r="AY779">
        <v>133260000</v>
      </c>
      <c r="AZ779">
        <v>47918015.102481097</v>
      </c>
      <c r="BD779">
        <v>16.670000000000002</v>
      </c>
    </row>
    <row r="780" spans="1:56">
      <c r="A780" t="s">
        <v>724</v>
      </c>
      <c r="B780" t="s">
        <v>282</v>
      </c>
      <c r="C780">
        <v>2021</v>
      </c>
      <c r="E780">
        <v>2021</v>
      </c>
      <c r="F780" t="s">
        <v>27</v>
      </c>
      <c r="G780" t="s">
        <v>224</v>
      </c>
      <c r="H780">
        <v>2641</v>
      </c>
      <c r="I780">
        <v>1</v>
      </c>
      <c r="L780" t="s">
        <v>24</v>
      </c>
      <c r="M780">
        <v>140</v>
      </c>
      <c r="Q780">
        <v>2658000</v>
      </c>
      <c r="S780">
        <v>1.01</v>
      </c>
      <c r="U780">
        <v>20</v>
      </c>
      <c r="AA780">
        <v>8.8000000000000007</v>
      </c>
      <c r="AB780">
        <v>12</v>
      </c>
      <c r="AD780" t="s">
        <v>33</v>
      </c>
      <c r="AE780">
        <v>116</v>
      </c>
      <c r="AF780">
        <v>0.31333653700000003</v>
      </c>
      <c r="AG780">
        <v>2641</v>
      </c>
      <c r="AK780" t="s">
        <v>709</v>
      </c>
      <c r="AL780" t="s">
        <v>597</v>
      </c>
      <c r="AM780">
        <v>741.39724999999999</v>
      </c>
      <c r="AO780" t="s">
        <v>35</v>
      </c>
      <c r="AW780">
        <v>7249090.9090909101</v>
      </c>
      <c r="AY780">
        <v>144981818.18181801</v>
      </c>
      <c r="AZ780">
        <v>54896561.219923601</v>
      </c>
      <c r="BD780">
        <v>18.329999999999998</v>
      </c>
    </row>
    <row r="781" spans="1:56">
      <c r="A781" t="s">
        <v>724</v>
      </c>
      <c r="B781" t="s">
        <v>282</v>
      </c>
      <c r="C781">
        <v>2021</v>
      </c>
      <c r="E781">
        <v>2021</v>
      </c>
      <c r="F781" t="s">
        <v>27</v>
      </c>
      <c r="G781" t="s">
        <v>224</v>
      </c>
      <c r="H781">
        <v>3032</v>
      </c>
      <c r="I781">
        <v>1</v>
      </c>
      <c r="L781" t="s">
        <v>24</v>
      </c>
      <c r="M781">
        <v>80</v>
      </c>
      <c r="Q781">
        <v>1283000</v>
      </c>
      <c r="S781">
        <v>0.42</v>
      </c>
      <c r="U781">
        <v>20</v>
      </c>
      <c r="AA781">
        <v>6.9</v>
      </c>
      <c r="AB781">
        <v>13</v>
      </c>
      <c r="AD781" t="s">
        <v>33</v>
      </c>
      <c r="AE781">
        <v>95</v>
      </c>
      <c r="AF781">
        <v>0.16801788100000001</v>
      </c>
      <c r="AG781">
        <v>3032</v>
      </c>
      <c r="AK781" t="s">
        <v>709</v>
      </c>
      <c r="AL781" t="s">
        <v>597</v>
      </c>
      <c r="AM781">
        <v>741.39724999999999</v>
      </c>
      <c r="AO781" t="s">
        <v>35</v>
      </c>
      <c r="AW781">
        <v>4462608.6956521701</v>
      </c>
      <c r="AY781">
        <v>89252173.913043499</v>
      </c>
      <c r="AZ781">
        <v>29436732.820924599</v>
      </c>
      <c r="BD781">
        <v>14.38</v>
      </c>
    </row>
    <row r="782" spans="1:56">
      <c r="A782" t="s">
        <v>724</v>
      </c>
      <c r="B782" t="s">
        <v>282</v>
      </c>
      <c r="C782">
        <v>2021</v>
      </c>
      <c r="E782">
        <v>2021</v>
      </c>
      <c r="F782" t="s">
        <v>27</v>
      </c>
      <c r="G782" t="s">
        <v>224</v>
      </c>
      <c r="H782">
        <v>3026</v>
      </c>
      <c r="I782">
        <v>1</v>
      </c>
      <c r="L782" t="s">
        <v>24</v>
      </c>
      <c r="M782">
        <v>100</v>
      </c>
      <c r="Q782">
        <v>2085000</v>
      </c>
      <c r="S782">
        <v>0.69</v>
      </c>
      <c r="U782">
        <v>20</v>
      </c>
      <c r="AA782">
        <v>7.3</v>
      </c>
      <c r="AB782">
        <v>14</v>
      </c>
      <c r="AD782" t="s">
        <v>33</v>
      </c>
      <c r="AE782">
        <v>120</v>
      </c>
      <c r="AF782">
        <v>0.25859576699999998</v>
      </c>
      <c r="AG782">
        <v>3026</v>
      </c>
      <c r="AK782" t="s">
        <v>709</v>
      </c>
      <c r="AL782" t="s">
        <v>597</v>
      </c>
      <c r="AM782">
        <v>741.39724999999999</v>
      </c>
      <c r="AO782" t="s">
        <v>35</v>
      </c>
      <c r="AW782">
        <v>6854794.5205479497</v>
      </c>
      <c r="AY782">
        <v>137095890.41095901</v>
      </c>
      <c r="AZ782">
        <v>45305978.3248377</v>
      </c>
      <c r="BD782">
        <v>15.21</v>
      </c>
    </row>
    <row r="783" spans="1:56">
      <c r="A783" t="s">
        <v>724</v>
      </c>
      <c r="B783" t="s">
        <v>282</v>
      </c>
      <c r="C783">
        <v>2021</v>
      </c>
      <c r="E783">
        <v>2021</v>
      </c>
      <c r="F783" t="s">
        <v>27</v>
      </c>
      <c r="G783" t="s">
        <v>224</v>
      </c>
      <c r="H783">
        <v>3020</v>
      </c>
      <c r="I783">
        <v>1</v>
      </c>
      <c r="L783" t="s">
        <v>24</v>
      </c>
      <c r="M783">
        <v>120</v>
      </c>
      <c r="Q783">
        <v>2471000</v>
      </c>
      <c r="S783">
        <v>0.82</v>
      </c>
      <c r="U783">
        <v>20</v>
      </c>
      <c r="AA783">
        <v>7.9</v>
      </c>
      <c r="AB783">
        <v>15</v>
      </c>
      <c r="AD783" t="s">
        <v>33</v>
      </c>
      <c r="AE783">
        <v>121</v>
      </c>
      <c r="AF783">
        <v>0.28375651800000001</v>
      </c>
      <c r="AG783">
        <v>3020</v>
      </c>
      <c r="AK783" t="s">
        <v>709</v>
      </c>
      <c r="AL783" t="s">
        <v>597</v>
      </c>
      <c r="AM783">
        <v>741.39724999999999</v>
      </c>
      <c r="AO783" t="s">
        <v>35</v>
      </c>
      <c r="AW783">
        <v>7506835.44303797</v>
      </c>
      <c r="AY783">
        <v>150136708.86075899</v>
      </c>
      <c r="AZ783">
        <v>49714142.006874003</v>
      </c>
      <c r="BD783">
        <v>16.46</v>
      </c>
    </row>
    <row r="784" spans="1:56">
      <c r="A784" t="s">
        <v>724</v>
      </c>
      <c r="B784" t="s">
        <v>282</v>
      </c>
      <c r="C784">
        <v>2021</v>
      </c>
      <c r="E784">
        <v>2021</v>
      </c>
      <c r="F784" t="s">
        <v>27</v>
      </c>
      <c r="G784" t="s">
        <v>224</v>
      </c>
      <c r="H784">
        <v>3001</v>
      </c>
      <c r="I784">
        <v>1</v>
      </c>
      <c r="L784" t="s">
        <v>24</v>
      </c>
      <c r="M784">
        <v>140</v>
      </c>
      <c r="Q784">
        <v>2864000</v>
      </c>
      <c r="S784">
        <v>0.95</v>
      </c>
      <c r="U784">
        <v>20</v>
      </c>
      <c r="AA784">
        <v>8.4</v>
      </c>
      <c r="AB784">
        <v>16</v>
      </c>
      <c r="AD784" t="s">
        <v>33</v>
      </c>
      <c r="AE784">
        <v>123</v>
      </c>
      <c r="AF784">
        <v>0.31126828099999998</v>
      </c>
      <c r="AG784">
        <v>3001</v>
      </c>
      <c r="AK784" t="s">
        <v>709</v>
      </c>
      <c r="AL784" t="s">
        <v>597</v>
      </c>
      <c r="AM784">
        <v>741.39724999999999</v>
      </c>
      <c r="AO784" t="s">
        <v>35</v>
      </c>
      <c r="AW784">
        <v>8182857.1428571399</v>
      </c>
      <c r="AY784">
        <v>163657142.85714301</v>
      </c>
      <c r="AZ784">
        <v>54534202.884752698</v>
      </c>
      <c r="BD784">
        <v>17.5</v>
      </c>
    </row>
    <row r="785" spans="1:56">
      <c r="A785" t="s">
        <v>724</v>
      </c>
      <c r="B785" t="s">
        <v>282</v>
      </c>
      <c r="C785">
        <v>2021</v>
      </c>
      <c r="E785">
        <v>2021</v>
      </c>
      <c r="F785" t="s">
        <v>27</v>
      </c>
      <c r="G785" t="s">
        <v>224</v>
      </c>
      <c r="H785">
        <v>3215</v>
      </c>
      <c r="I785">
        <v>1</v>
      </c>
      <c r="L785" t="s">
        <v>24</v>
      </c>
      <c r="M785">
        <v>80</v>
      </c>
      <c r="Q785">
        <v>1762000</v>
      </c>
      <c r="S785">
        <v>0.55000000000000004</v>
      </c>
      <c r="U785">
        <v>20</v>
      </c>
      <c r="AA785">
        <v>6.4</v>
      </c>
      <c r="AB785">
        <v>17</v>
      </c>
      <c r="AD785" t="s">
        <v>33</v>
      </c>
      <c r="AE785">
        <v>122</v>
      </c>
      <c r="AF785">
        <v>0.23461300800000001</v>
      </c>
      <c r="AG785">
        <v>3215</v>
      </c>
      <c r="AK785" t="s">
        <v>709</v>
      </c>
      <c r="AL785" t="s">
        <v>597</v>
      </c>
      <c r="AM785">
        <v>741.39724999999999</v>
      </c>
      <c r="AO785" t="s">
        <v>35</v>
      </c>
      <c r="AW785">
        <v>6607500</v>
      </c>
      <c r="AY785">
        <v>132150000</v>
      </c>
      <c r="AZ785">
        <v>41104199.066873997</v>
      </c>
      <c r="BD785">
        <v>13.33</v>
      </c>
    </row>
    <row r="786" spans="1:56">
      <c r="A786" t="s">
        <v>724</v>
      </c>
      <c r="B786" t="s">
        <v>282</v>
      </c>
      <c r="C786">
        <v>2021</v>
      </c>
      <c r="E786">
        <v>2021</v>
      </c>
      <c r="F786" t="s">
        <v>27</v>
      </c>
      <c r="G786" t="s">
        <v>224</v>
      </c>
      <c r="H786">
        <v>3188</v>
      </c>
      <c r="I786">
        <v>1</v>
      </c>
      <c r="L786" t="s">
        <v>24</v>
      </c>
      <c r="M786">
        <v>100</v>
      </c>
      <c r="Q786">
        <v>2120000</v>
      </c>
      <c r="S786">
        <v>0.66</v>
      </c>
      <c r="U786">
        <v>20</v>
      </c>
      <c r="AA786">
        <v>7</v>
      </c>
      <c r="AB786">
        <v>18</v>
      </c>
      <c r="AD786" t="s">
        <v>33</v>
      </c>
      <c r="AE786">
        <v>121</v>
      </c>
      <c r="AF786">
        <v>0.26027151700000001</v>
      </c>
      <c r="AG786">
        <v>3188</v>
      </c>
      <c r="AK786" t="s">
        <v>709</v>
      </c>
      <c r="AL786" t="s">
        <v>597</v>
      </c>
      <c r="AM786">
        <v>741.39724999999999</v>
      </c>
      <c r="AO786" t="s">
        <v>35</v>
      </c>
      <c r="AW786">
        <v>7268571.42857143</v>
      </c>
      <c r="AY786">
        <v>145371428.57142901</v>
      </c>
      <c r="AZ786">
        <v>45599569.815379098</v>
      </c>
      <c r="BD786">
        <v>14.58</v>
      </c>
    </row>
    <row r="787" spans="1:56">
      <c r="A787" t="s">
        <v>724</v>
      </c>
      <c r="B787" t="s">
        <v>282</v>
      </c>
      <c r="C787">
        <v>2021</v>
      </c>
      <c r="E787">
        <v>2021</v>
      </c>
      <c r="F787" t="s">
        <v>27</v>
      </c>
      <c r="G787" t="s">
        <v>224</v>
      </c>
      <c r="H787">
        <v>3196</v>
      </c>
      <c r="I787">
        <v>1</v>
      </c>
      <c r="L787" t="s">
        <v>24</v>
      </c>
      <c r="M787">
        <v>120</v>
      </c>
      <c r="Q787">
        <v>2516000</v>
      </c>
      <c r="S787">
        <v>0.79</v>
      </c>
      <c r="U787">
        <v>20</v>
      </c>
      <c r="AA787">
        <v>7.6</v>
      </c>
      <c r="AB787">
        <v>19</v>
      </c>
      <c r="AD787" t="s">
        <v>33</v>
      </c>
      <c r="AE787">
        <v>123</v>
      </c>
      <c r="AF787">
        <v>0.28379020999999999</v>
      </c>
      <c r="AG787">
        <v>3196</v>
      </c>
      <c r="AK787" t="s">
        <v>709</v>
      </c>
      <c r="AL787" t="s">
        <v>597</v>
      </c>
      <c r="AM787">
        <v>741.39724999999999</v>
      </c>
      <c r="AO787" t="s">
        <v>35</v>
      </c>
      <c r="AW787">
        <v>7945263.1578947399</v>
      </c>
      <c r="AY787">
        <v>158905263.157895</v>
      </c>
      <c r="AZ787">
        <v>49720044.792833097</v>
      </c>
      <c r="BD787">
        <v>15.83</v>
      </c>
    </row>
    <row r="788" spans="1:56">
      <c r="A788" t="s">
        <v>724</v>
      </c>
      <c r="B788" t="s">
        <v>282</v>
      </c>
      <c r="C788">
        <v>2021</v>
      </c>
      <c r="E788">
        <v>2021</v>
      </c>
      <c r="F788" t="s">
        <v>27</v>
      </c>
      <c r="G788" t="s">
        <v>224</v>
      </c>
      <c r="H788">
        <v>3206</v>
      </c>
      <c r="I788">
        <v>1</v>
      </c>
      <c r="L788" t="s">
        <v>24</v>
      </c>
      <c r="M788">
        <v>140</v>
      </c>
      <c r="Q788">
        <v>2775000</v>
      </c>
      <c r="S788">
        <v>0.87</v>
      </c>
      <c r="U788">
        <v>20</v>
      </c>
      <c r="AA788">
        <v>8.1</v>
      </c>
      <c r="AB788">
        <v>20</v>
      </c>
      <c r="AD788" t="s">
        <v>33</v>
      </c>
      <c r="AE788">
        <v>119</v>
      </c>
      <c r="AF788">
        <v>0.29276663800000002</v>
      </c>
      <c r="AG788">
        <v>3206</v>
      </c>
      <c r="AK788" t="s">
        <v>709</v>
      </c>
      <c r="AL788" t="s">
        <v>597</v>
      </c>
      <c r="AM788">
        <v>741.39724999999999</v>
      </c>
      <c r="AO788" t="s">
        <v>35</v>
      </c>
      <c r="AW788">
        <v>8222222.2222222202</v>
      </c>
      <c r="AY788">
        <v>164444444.444444</v>
      </c>
      <c r="AZ788">
        <v>51292715.048173599</v>
      </c>
      <c r="BD788">
        <v>16.88</v>
      </c>
    </row>
    <row r="789" spans="1:56">
      <c r="A789" t="s">
        <v>724</v>
      </c>
      <c r="B789" t="s">
        <v>282</v>
      </c>
      <c r="C789">
        <v>2021</v>
      </c>
      <c r="E789">
        <v>2021</v>
      </c>
      <c r="F789" t="s">
        <v>27</v>
      </c>
      <c r="G789" t="s">
        <v>224</v>
      </c>
      <c r="H789">
        <v>3363</v>
      </c>
      <c r="I789">
        <v>1</v>
      </c>
      <c r="L789" t="s">
        <v>24</v>
      </c>
      <c r="M789">
        <v>80</v>
      </c>
      <c r="Q789">
        <v>1634000</v>
      </c>
      <c r="S789">
        <v>0.49</v>
      </c>
      <c r="U789">
        <v>20</v>
      </c>
      <c r="AA789">
        <v>6.4</v>
      </c>
      <c r="AB789">
        <v>21</v>
      </c>
      <c r="AD789" t="s">
        <v>33</v>
      </c>
      <c r="AE789">
        <v>115</v>
      </c>
      <c r="AF789">
        <v>0.20799473700000001</v>
      </c>
      <c r="AG789">
        <v>3363</v>
      </c>
      <c r="AK789" t="s">
        <v>709</v>
      </c>
      <c r="AL789" t="s">
        <v>597</v>
      </c>
      <c r="AM789">
        <v>741.39724999999999</v>
      </c>
      <c r="AO789" t="s">
        <v>35</v>
      </c>
      <c r="AW789">
        <v>6127500</v>
      </c>
      <c r="AY789">
        <v>122550000</v>
      </c>
      <c r="AZ789">
        <v>36440677.966101699</v>
      </c>
      <c r="BD789">
        <v>13.33</v>
      </c>
    </row>
    <row r="790" spans="1:56">
      <c r="A790" t="s">
        <v>724</v>
      </c>
      <c r="B790" t="s">
        <v>282</v>
      </c>
      <c r="C790">
        <v>2021</v>
      </c>
      <c r="E790">
        <v>2021</v>
      </c>
      <c r="F790" t="s">
        <v>27</v>
      </c>
      <c r="G790" t="s">
        <v>224</v>
      </c>
      <c r="H790">
        <v>3309</v>
      </c>
      <c r="I790">
        <v>1</v>
      </c>
      <c r="L790" t="s">
        <v>24</v>
      </c>
      <c r="M790">
        <v>100</v>
      </c>
      <c r="Q790">
        <v>1891000</v>
      </c>
      <c r="S790">
        <v>0.56999999999999995</v>
      </c>
      <c r="U790">
        <v>20</v>
      </c>
      <c r="AA790">
        <v>6.6</v>
      </c>
      <c r="AB790">
        <v>22</v>
      </c>
      <c r="AD790" t="s">
        <v>33</v>
      </c>
      <c r="AE790">
        <v>111</v>
      </c>
      <c r="AF790">
        <v>0.23722363799999999</v>
      </c>
      <c r="AG790">
        <v>3309</v>
      </c>
      <c r="AK790" t="s">
        <v>709</v>
      </c>
      <c r="AL790" t="s">
        <v>597</v>
      </c>
      <c r="AM790">
        <v>741.39724999999999</v>
      </c>
      <c r="AO790" t="s">
        <v>35</v>
      </c>
      <c r="AW790">
        <v>6876363.6363636404</v>
      </c>
      <c r="AY790">
        <v>137527272.72727299</v>
      </c>
      <c r="AZ790">
        <v>41561581.3621253</v>
      </c>
      <c r="BD790">
        <v>13.75</v>
      </c>
    </row>
    <row r="791" spans="1:56">
      <c r="A791" t="s">
        <v>724</v>
      </c>
      <c r="B791" t="s">
        <v>282</v>
      </c>
      <c r="C791">
        <v>2021</v>
      </c>
      <c r="E791">
        <v>2021</v>
      </c>
      <c r="F791" t="s">
        <v>27</v>
      </c>
      <c r="G791" t="s">
        <v>224</v>
      </c>
      <c r="H791">
        <v>3313</v>
      </c>
      <c r="I791">
        <v>1</v>
      </c>
      <c r="L791" t="s">
        <v>24</v>
      </c>
      <c r="M791">
        <v>120</v>
      </c>
      <c r="Q791">
        <v>2384000</v>
      </c>
      <c r="S791">
        <v>0.72</v>
      </c>
      <c r="U791">
        <v>20</v>
      </c>
      <c r="AA791">
        <v>7.1</v>
      </c>
      <c r="AB791">
        <v>23</v>
      </c>
      <c r="AD791" t="s">
        <v>33</v>
      </c>
      <c r="AE791">
        <v>118</v>
      </c>
      <c r="AF791">
        <v>0.27767296800000002</v>
      </c>
      <c r="AG791">
        <v>3313</v>
      </c>
      <c r="AK791" t="s">
        <v>709</v>
      </c>
      <c r="AL791" t="s">
        <v>597</v>
      </c>
      <c r="AM791">
        <v>741.39724999999999</v>
      </c>
      <c r="AO791" t="s">
        <v>35</v>
      </c>
      <c r="AW791">
        <v>8058591.54929577</v>
      </c>
      <c r="AY791">
        <v>161171830.98591501</v>
      </c>
      <c r="AZ791">
        <v>48648303.949868798</v>
      </c>
      <c r="BD791">
        <v>14.79</v>
      </c>
    </row>
    <row r="792" spans="1:56">
      <c r="A792" t="s">
        <v>724</v>
      </c>
      <c r="B792" t="s">
        <v>282</v>
      </c>
      <c r="C792">
        <v>2021</v>
      </c>
      <c r="E792">
        <v>2021</v>
      </c>
      <c r="F792" t="s">
        <v>27</v>
      </c>
      <c r="G792" t="s">
        <v>224</v>
      </c>
      <c r="H792">
        <v>3313</v>
      </c>
      <c r="I792">
        <v>1</v>
      </c>
      <c r="L792" t="s">
        <v>24</v>
      </c>
      <c r="M792">
        <v>140</v>
      </c>
      <c r="Q792">
        <v>2764000</v>
      </c>
      <c r="S792">
        <v>0.83</v>
      </c>
      <c r="U792">
        <v>20</v>
      </c>
      <c r="AA792">
        <v>7.6</v>
      </c>
      <c r="AB792">
        <v>24</v>
      </c>
      <c r="AD792" t="s">
        <v>33</v>
      </c>
      <c r="AE792">
        <v>120</v>
      </c>
      <c r="AF792">
        <v>0.30075312300000001</v>
      </c>
      <c r="AG792">
        <v>3313</v>
      </c>
      <c r="AK792" t="s">
        <v>709</v>
      </c>
      <c r="AL792" t="s">
        <v>597</v>
      </c>
      <c r="AM792">
        <v>741.39724999999999</v>
      </c>
      <c r="AO792" t="s">
        <v>35</v>
      </c>
      <c r="AW792">
        <v>8728421.0526315793</v>
      </c>
      <c r="AY792">
        <v>174568421.052632</v>
      </c>
      <c r="AZ792">
        <v>52691947.193670899</v>
      </c>
      <c r="BD792">
        <v>15.83</v>
      </c>
    </row>
    <row r="793" spans="1:56">
      <c r="A793" t="s">
        <v>724</v>
      </c>
      <c r="B793" t="s">
        <v>282</v>
      </c>
      <c r="C793">
        <v>2021</v>
      </c>
      <c r="E793">
        <v>2021</v>
      </c>
      <c r="F793" t="s">
        <v>27</v>
      </c>
      <c r="G793" t="s">
        <v>224</v>
      </c>
      <c r="H793">
        <v>3568</v>
      </c>
      <c r="I793">
        <v>1</v>
      </c>
      <c r="L793" t="s">
        <v>24</v>
      </c>
      <c r="M793">
        <v>80</v>
      </c>
      <c r="Q793">
        <v>1747000</v>
      </c>
      <c r="S793">
        <v>0.49</v>
      </c>
      <c r="U793">
        <v>20</v>
      </c>
      <c r="AA793">
        <v>6.2</v>
      </c>
      <c r="AB793">
        <v>25</v>
      </c>
      <c r="AD793" t="s">
        <v>33</v>
      </c>
      <c r="AE793">
        <v>121</v>
      </c>
      <c r="AF793">
        <v>0.216363254</v>
      </c>
      <c r="AG793">
        <v>3568</v>
      </c>
      <c r="AK793" t="s">
        <v>709</v>
      </c>
      <c r="AL793" t="s">
        <v>597</v>
      </c>
      <c r="AM793">
        <v>741.39724999999999</v>
      </c>
      <c r="AO793" t="s">
        <v>35</v>
      </c>
      <c r="AW793">
        <v>6762580.6451612897</v>
      </c>
      <c r="AY793">
        <v>135251612.90322599</v>
      </c>
      <c r="AZ793">
        <v>37906842.181397401</v>
      </c>
      <c r="BD793">
        <v>12.92</v>
      </c>
    </row>
    <row r="794" spans="1:56">
      <c r="A794" t="s">
        <v>724</v>
      </c>
      <c r="B794" t="s">
        <v>282</v>
      </c>
      <c r="C794">
        <v>2021</v>
      </c>
      <c r="E794">
        <v>2021</v>
      </c>
      <c r="F794" t="s">
        <v>27</v>
      </c>
      <c r="G794" t="s">
        <v>224</v>
      </c>
      <c r="H794">
        <v>3551</v>
      </c>
      <c r="I794">
        <v>1</v>
      </c>
      <c r="L794" t="s">
        <v>24</v>
      </c>
      <c r="M794">
        <v>100</v>
      </c>
      <c r="Q794">
        <v>2015000</v>
      </c>
      <c r="S794">
        <v>0.56999999999999995</v>
      </c>
      <c r="U794">
        <v>20</v>
      </c>
      <c r="AA794">
        <v>6.6</v>
      </c>
      <c r="AB794">
        <v>26</v>
      </c>
      <c r="AD794" t="s">
        <v>33</v>
      </c>
      <c r="AE794">
        <v>117</v>
      </c>
      <c r="AF794">
        <v>0.23555242400000001</v>
      </c>
      <c r="AG794">
        <v>3551</v>
      </c>
      <c r="AK794" t="s">
        <v>709</v>
      </c>
      <c r="AL794" t="s">
        <v>597</v>
      </c>
      <c r="AM794">
        <v>741.39724999999999</v>
      </c>
      <c r="AO794" t="s">
        <v>35</v>
      </c>
      <c r="AW794">
        <v>7327272.7272727303</v>
      </c>
      <c r="AY794">
        <v>146545454.54545501</v>
      </c>
      <c r="AZ794">
        <v>41268784.721333303</v>
      </c>
      <c r="BD794">
        <v>13.75</v>
      </c>
    </row>
    <row r="795" spans="1:56">
      <c r="A795" t="s">
        <v>724</v>
      </c>
      <c r="B795" t="s">
        <v>282</v>
      </c>
      <c r="C795">
        <v>2021</v>
      </c>
      <c r="E795">
        <v>2021</v>
      </c>
      <c r="F795" t="s">
        <v>27</v>
      </c>
      <c r="G795" t="s">
        <v>224</v>
      </c>
      <c r="H795">
        <v>3550</v>
      </c>
      <c r="I795">
        <v>1</v>
      </c>
      <c r="L795" t="s">
        <v>24</v>
      </c>
      <c r="M795">
        <v>120</v>
      </c>
      <c r="Q795">
        <v>2574000</v>
      </c>
      <c r="S795">
        <v>0.73</v>
      </c>
      <c r="U795">
        <v>20</v>
      </c>
      <c r="AA795">
        <v>7.2</v>
      </c>
      <c r="AB795">
        <v>27</v>
      </c>
      <c r="AD795" t="s">
        <v>33</v>
      </c>
      <c r="AE795">
        <v>125</v>
      </c>
      <c r="AF795">
        <v>0.27590198700000002</v>
      </c>
      <c r="AG795">
        <v>3550</v>
      </c>
      <c r="AK795" t="s">
        <v>709</v>
      </c>
      <c r="AL795" t="s">
        <v>597</v>
      </c>
      <c r="AM795">
        <v>741.39724999999999</v>
      </c>
      <c r="AO795" t="s">
        <v>35</v>
      </c>
      <c r="AW795">
        <v>8580000</v>
      </c>
      <c r="AY795">
        <v>171600000</v>
      </c>
      <c r="AZ795">
        <v>48338028.169014104</v>
      </c>
      <c r="BD795">
        <v>15</v>
      </c>
    </row>
    <row r="796" spans="1:56">
      <c r="A796" t="s">
        <v>724</v>
      </c>
      <c r="B796" t="s">
        <v>282</v>
      </c>
      <c r="C796">
        <v>2021</v>
      </c>
      <c r="E796">
        <v>2021</v>
      </c>
      <c r="F796" t="s">
        <v>27</v>
      </c>
      <c r="G796" t="s">
        <v>224</v>
      </c>
      <c r="H796">
        <v>3569</v>
      </c>
      <c r="I796">
        <v>1</v>
      </c>
      <c r="L796" t="s">
        <v>24</v>
      </c>
      <c r="M796">
        <v>140</v>
      </c>
      <c r="Q796">
        <v>3042000</v>
      </c>
      <c r="S796">
        <v>0.85</v>
      </c>
      <c r="U796">
        <v>20</v>
      </c>
      <c r="AA796">
        <v>7.7</v>
      </c>
      <c r="AB796">
        <v>28</v>
      </c>
      <c r="AD796" t="s">
        <v>33</v>
      </c>
      <c r="AE796">
        <v>129</v>
      </c>
      <c r="AF796">
        <v>0.30326973499999998</v>
      </c>
      <c r="AG796">
        <v>3569</v>
      </c>
      <c r="AK796" t="s">
        <v>709</v>
      </c>
      <c r="AL796" t="s">
        <v>597</v>
      </c>
      <c r="AM796">
        <v>741.39724999999999</v>
      </c>
      <c r="AO796" t="s">
        <v>35</v>
      </c>
      <c r="AW796">
        <v>9481558.4415584393</v>
      </c>
      <c r="AY796">
        <v>189631168.83116901</v>
      </c>
      <c r="AZ796">
        <v>53132857.615906097</v>
      </c>
      <c r="BD796">
        <v>16.04</v>
      </c>
    </row>
    <row r="797" spans="1:56">
      <c r="A797" t="s">
        <v>724</v>
      </c>
      <c r="B797" t="s">
        <v>282</v>
      </c>
      <c r="C797">
        <v>2021</v>
      </c>
      <c r="E797">
        <v>2021</v>
      </c>
      <c r="F797" t="s">
        <v>27</v>
      </c>
      <c r="G797" t="s">
        <v>224</v>
      </c>
      <c r="H797">
        <v>3553</v>
      </c>
      <c r="I797">
        <v>1</v>
      </c>
      <c r="L797" t="s">
        <v>24</v>
      </c>
      <c r="M797">
        <v>160</v>
      </c>
      <c r="Q797">
        <v>3370000</v>
      </c>
      <c r="S797">
        <v>0.95</v>
      </c>
      <c r="U797">
        <v>20</v>
      </c>
      <c r="AA797">
        <v>8.1999999999999993</v>
      </c>
      <c r="AB797">
        <v>29</v>
      </c>
      <c r="AD797" t="s">
        <v>33</v>
      </c>
      <c r="AE797">
        <v>128</v>
      </c>
      <c r="AF797">
        <v>0.316904187</v>
      </c>
      <c r="AG797">
        <v>3553</v>
      </c>
      <c r="AK797" t="s">
        <v>709</v>
      </c>
      <c r="AL797" t="s">
        <v>597</v>
      </c>
      <c r="AM797">
        <v>741.39724999999999</v>
      </c>
      <c r="AO797" t="s">
        <v>35</v>
      </c>
      <c r="AW797">
        <v>9863414.6341463402</v>
      </c>
      <c r="AY797">
        <v>197268292.68292701</v>
      </c>
      <c r="AZ797">
        <v>55521613.476759598</v>
      </c>
      <c r="BD797">
        <v>17.079999999999998</v>
      </c>
    </row>
    <row r="798" spans="1:56">
      <c r="A798" t="s">
        <v>724</v>
      </c>
      <c r="B798" t="s">
        <v>282</v>
      </c>
      <c r="C798">
        <v>2021</v>
      </c>
      <c r="E798">
        <v>2021</v>
      </c>
      <c r="F798" t="s">
        <v>27</v>
      </c>
      <c r="G798" t="s">
        <v>224</v>
      </c>
      <c r="H798">
        <v>4201</v>
      </c>
      <c r="I798">
        <v>1</v>
      </c>
      <c r="L798" t="s">
        <v>24</v>
      </c>
      <c r="M798">
        <v>100</v>
      </c>
      <c r="Q798">
        <v>2407000</v>
      </c>
      <c r="S798">
        <v>0.56999999999999995</v>
      </c>
      <c r="U798">
        <v>20</v>
      </c>
      <c r="AA798">
        <v>6.5</v>
      </c>
      <c r="AB798">
        <v>30</v>
      </c>
      <c r="AD798" t="s">
        <v>33</v>
      </c>
      <c r="AE798">
        <v>134</v>
      </c>
      <c r="AF798">
        <v>0.241500029</v>
      </c>
      <c r="AG798">
        <v>4201</v>
      </c>
      <c r="AK798" t="s">
        <v>709</v>
      </c>
      <c r="AL798" t="s">
        <v>597</v>
      </c>
      <c r="AM798">
        <v>741.39724999999999</v>
      </c>
      <c r="AO798" t="s">
        <v>35</v>
      </c>
      <c r="AW798">
        <v>8887384.6153846197</v>
      </c>
      <c r="AY798">
        <v>177747692.30769199</v>
      </c>
      <c r="AZ798">
        <v>42310805.119660199</v>
      </c>
      <c r="BD798">
        <v>13.54</v>
      </c>
    </row>
    <row r="799" spans="1:56">
      <c r="A799" t="s">
        <v>724</v>
      </c>
      <c r="B799" t="s">
        <v>282</v>
      </c>
      <c r="C799">
        <v>2021</v>
      </c>
      <c r="E799">
        <v>2021</v>
      </c>
      <c r="F799" t="s">
        <v>27</v>
      </c>
      <c r="G799" t="s">
        <v>224</v>
      </c>
      <c r="H799">
        <v>4202</v>
      </c>
      <c r="I799">
        <v>1</v>
      </c>
      <c r="L799" t="s">
        <v>24</v>
      </c>
      <c r="M799">
        <v>120</v>
      </c>
      <c r="Q799">
        <v>2992000</v>
      </c>
      <c r="S799">
        <v>0.71</v>
      </c>
      <c r="U799">
        <v>20</v>
      </c>
      <c r="AA799">
        <v>7</v>
      </c>
      <c r="AB799">
        <v>31</v>
      </c>
      <c r="AD799" t="s">
        <v>33</v>
      </c>
      <c r="AE799">
        <v>141</v>
      </c>
      <c r="AF799">
        <v>0.27868566900000002</v>
      </c>
      <c r="AG799">
        <v>4202</v>
      </c>
      <c r="AK799" t="s">
        <v>709</v>
      </c>
      <c r="AL799" t="s">
        <v>597</v>
      </c>
      <c r="AM799">
        <v>741.39724999999999</v>
      </c>
      <c r="AO799" t="s">
        <v>35</v>
      </c>
      <c r="AW799">
        <v>10258285.7142857</v>
      </c>
      <c r="AY799">
        <v>205165714.285714</v>
      </c>
      <c r="AZ799">
        <v>48825729.2445774</v>
      </c>
      <c r="BD799">
        <v>14.58</v>
      </c>
    </row>
    <row r="800" spans="1:56">
      <c r="A800" t="s">
        <v>724</v>
      </c>
      <c r="B800" t="s">
        <v>282</v>
      </c>
      <c r="C800">
        <v>2021</v>
      </c>
      <c r="E800">
        <v>2021</v>
      </c>
      <c r="F800" t="s">
        <v>27</v>
      </c>
      <c r="G800" t="s">
        <v>224</v>
      </c>
      <c r="H800">
        <v>4201</v>
      </c>
      <c r="I800">
        <v>1</v>
      </c>
      <c r="L800" t="s">
        <v>24</v>
      </c>
      <c r="M800">
        <v>140</v>
      </c>
      <c r="Q800">
        <v>3193000</v>
      </c>
      <c r="S800">
        <v>0.76</v>
      </c>
      <c r="U800">
        <v>20</v>
      </c>
      <c r="AA800">
        <v>7.5</v>
      </c>
      <c r="AB800">
        <v>32</v>
      </c>
      <c r="AD800" t="s">
        <v>33</v>
      </c>
      <c r="AE800">
        <v>134</v>
      </c>
      <c r="AF800">
        <v>0.27764643999999999</v>
      </c>
      <c r="AG800">
        <v>4201</v>
      </c>
      <c r="AK800" t="s">
        <v>709</v>
      </c>
      <c r="AL800" t="s">
        <v>597</v>
      </c>
      <c r="AM800">
        <v>741.39724999999999</v>
      </c>
      <c r="AO800" t="s">
        <v>35</v>
      </c>
      <c r="AW800">
        <v>10217600</v>
      </c>
      <c r="AY800">
        <v>204352000</v>
      </c>
      <c r="AZ800">
        <v>48643656.272316098</v>
      </c>
      <c r="BD800">
        <v>15.63</v>
      </c>
    </row>
    <row r="801" spans="1:56">
      <c r="A801" t="s">
        <v>724</v>
      </c>
      <c r="B801" t="s">
        <v>282</v>
      </c>
      <c r="C801">
        <v>2021</v>
      </c>
      <c r="E801">
        <v>2021</v>
      </c>
      <c r="F801" t="s">
        <v>27</v>
      </c>
      <c r="G801" t="s">
        <v>224</v>
      </c>
      <c r="H801">
        <v>4201</v>
      </c>
      <c r="I801">
        <v>1</v>
      </c>
      <c r="L801" t="s">
        <v>24</v>
      </c>
      <c r="M801">
        <v>160</v>
      </c>
      <c r="Q801">
        <v>3572000</v>
      </c>
      <c r="S801">
        <v>0.85</v>
      </c>
      <c r="U801">
        <v>20</v>
      </c>
      <c r="AA801">
        <v>7.9</v>
      </c>
      <c r="AB801">
        <v>33</v>
      </c>
      <c r="AD801" t="s">
        <v>33</v>
      </c>
      <c r="AE801">
        <v>134</v>
      </c>
      <c r="AF801">
        <v>0.294875583</v>
      </c>
      <c r="AG801">
        <v>4201</v>
      </c>
      <c r="AK801" t="s">
        <v>709</v>
      </c>
      <c r="AL801" t="s">
        <v>597</v>
      </c>
      <c r="AM801">
        <v>741.39724999999999</v>
      </c>
      <c r="AO801" t="s">
        <v>35</v>
      </c>
      <c r="AW801">
        <v>10851645.5696203</v>
      </c>
      <c r="AY801">
        <v>217032911.392405</v>
      </c>
      <c r="AZ801">
        <v>51662202.188146897</v>
      </c>
      <c r="BD801">
        <v>16.46</v>
      </c>
    </row>
    <row r="802" spans="1:56">
      <c r="A802" t="s">
        <v>713</v>
      </c>
      <c r="B802" t="s">
        <v>26</v>
      </c>
      <c r="C802">
        <v>2021</v>
      </c>
      <c r="E802">
        <v>2021</v>
      </c>
      <c r="F802" t="s">
        <v>27</v>
      </c>
      <c r="G802" t="s">
        <v>19</v>
      </c>
      <c r="J802" t="s">
        <v>320</v>
      </c>
      <c r="L802" t="s">
        <v>321</v>
      </c>
      <c r="AB802" t="s">
        <v>322</v>
      </c>
      <c r="AK802" t="s">
        <v>709</v>
      </c>
      <c r="AL802" t="s">
        <v>597</v>
      </c>
      <c r="AM802">
        <v>741.39724999999999</v>
      </c>
      <c r="AO802" t="s">
        <v>20</v>
      </c>
      <c r="AW802">
        <v>144000000000</v>
      </c>
      <c r="BD802">
        <v>22.08</v>
      </c>
    </row>
    <row r="803" spans="1:56">
      <c r="A803" t="s">
        <v>764</v>
      </c>
      <c r="B803" t="s">
        <v>44</v>
      </c>
      <c r="C803">
        <v>2022</v>
      </c>
      <c r="D803">
        <v>2006</v>
      </c>
      <c r="E803">
        <v>2006</v>
      </c>
      <c r="F803" t="s">
        <v>27</v>
      </c>
      <c r="G803" t="s">
        <v>30</v>
      </c>
      <c r="H803">
        <v>3000</v>
      </c>
      <c r="I803">
        <v>30</v>
      </c>
      <c r="J803" t="s">
        <v>45</v>
      </c>
      <c r="L803" t="s">
        <v>31</v>
      </c>
      <c r="Q803">
        <v>50619630</v>
      </c>
      <c r="S803">
        <v>0.56000000000000005</v>
      </c>
      <c r="U803">
        <v>20</v>
      </c>
      <c r="AB803" t="s">
        <v>46</v>
      </c>
      <c r="AD803" t="s">
        <v>22</v>
      </c>
      <c r="AF803">
        <v>0.35599999999999998</v>
      </c>
      <c r="AG803">
        <v>90000</v>
      </c>
      <c r="AK803" t="s">
        <v>709</v>
      </c>
      <c r="AL803" t="s">
        <v>597</v>
      </c>
      <c r="AM803">
        <v>71.980400000000003</v>
      </c>
      <c r="AO803" t="s">
        <v>20</v>
      </c>
      <c r="AW803">
        <v>280670400</v>
      </c>
      <c r="AY803">
        <v>5613408000</v>
      </c>
      <c r="AZ803">
        <v>62371200</v>
      </c>
      <c r="BD803">
        <v>9.02</v>
      </c>
    </row>
    <row r="804" spans="1:56">
      <c r="A804" t="s">
        <v>764</v>
      </c>
      <c r="B804" t="s">
        <v>44</v>
      </c>
      <c r="C804">
        <v>2022</v>
      </c>
      <c r="D804">
        <v>2000</v>
      </c>
      <c r="E804">
        <v>2000</v>
      </c>
      <c r="F804" t="s">
        <v>27</v>
      </c>
      <c r="G804" t="s">
        <v>30</v>
      </c>
      <c r="H804">
        <v>2000</v>
      </c>
      <c r="I804">
        <v>2</v>
      </c>
      <c r="J804" t="s">
        <v>47</v>
      </c>
      <c r="L804" t="s">
        <v>31</v>
      </c>
      <c r="Q804">
        <v>1569770</v>
      </c>
      <c r="S804">
        <v>0.39</v>
      </c>
      <c r="U804">
        <v>20</v>
      </c>
      <c r="AB804" t="s">
        <v>48</v>
      </c>
      <c r="AD804" t="s">
        <v>22</v>
      </c>
      <c r="AF804">
        <v>0.114</v>
      </c>
      <c r="AG804">
        <v>4000</v>
      </c>
      <c r="AK804" t="s">
        <v>709</v>
      </c>
      <c r="AL804" t="s">
        <v>597</v>
      </c>
      <c r="AM804">
        <v>16.347073333000001</v>
      </c>
      <c r="AO804" t="s">
        <v>20</v>
      </c>
      <c r="AW804">
        <v>3994560</v>
      </c>
      <c r="AY804">
        <v>79891200</v>
      </c>
      <c r="AZ804">
        <v>19972800</v>
      </c>
      <c r="BD804">
        <v>19.649999999999999</v>
      </c>
    </row>
    <row r="805" spans="1:56">
      <c r="A805" t="s">
        <v>764</v>
      </c>
      <c r="B805" t="s">
        <v>44</v>
      </c>
      <c r="C805">
        <v>2022</v>
      </c>
      <c r="D805">
        <v>2007</v>
      </c>
      <c r="E805">
        <v>2007</v>
      </c>
      <c r="F805" t="s">
        <v>27</v>
      </c>
      <c r="G805" t="s">
        <v>30</v>
      </c>
      <c r="H805">
        <v>3600</v>
      </c>
      <c r="I805">
        <v>25</v>
      </c>
      <c r="J805" t="s">
        <v>49</v>
      </c>
      <c r="L805" t="s">
        <v>31</v>
      </c>
      <c r="Q805">
        <v>43438940</v>
      </c>
      <c r="S805">
        <v>0.48</v>
      </c>
      <c r="U805">
        <v>20</v>
      </c>
      <c r="AB805" t="s">
        <v>50</v>
      </c>
      <c r="AD805" t="s">
        <v>22</v>
      </c>
      <c r="AF805">
        <v>0.35</v>
      </c>
      <c r="AG805">
        <v>90000</v>
      </c>
      <c r="AK805" t="s">
        <v>709</v>
      </c>
      <c r="AL805" t="s">
        <v>597</v>
      </c>
      <c r="AM805">
        <v>91.070114500000003</v>
      </c>
      <c r="AO805" t="s">
        <v>20</v>
      </c>
      <c r="AW805">
        <v>275940000</v>
      </c>
      <c r="AY805">
        <v>5518800000</v>
      </c>
      <c r="AZ805">
        <v>61320000</v>
      </c>
      <c r="BD805">
        <v>7.87</v>
      </c>
    </row>
    <row r="806" spans="1:56">
      <c r="A806" t="s">
        <v>764</v>
      </c>
      <c r="B806" t="s">
        <v>44</v>
      </c>
      <c r="C806">
        <v>2022</v>
      </c>
      <c r="D806">
        <v>2012</v>
      </c>
      <c r="E806">
        <v>2012</v>
      </c>
      <c r="F806" t="s">
        <v>27</v>
      </c>
      <c r="G806" t="s">
        <v>30</v>
      </c>
      <c r="H806">
        <v>3600</v>
      </c>
      <c r="I806">
        <v>140</v>
      </c>
      <c r="J806" t="s">
        <v>49</v>
      </c>
      <c r="L806" t="s">
        <v>31</v>
      </c>
      <c r="Q806">
        <v>401097660</v>
      </c>
      <c r="S806">
        <v>0.8</v>
      </c>
      <c r="U806">
        <v>20</v>
      </c>
      <c r="AB806" t="s">
        <v>51</v>
      </c>
      <c r="AD806" t="s">
        <v>22</v>
      </c>
      <c r="AF806">
        <v>0.36399999999999999</v>
      </c>
      <c r="AG806">
        <v>504000</v>
      </c>
      <c r="AK806" t="s">
        <v>709</v>
      </c>
      <c r="AL806" t="s">
        <v>597</v>
      </c>
      <c r="AM806">
        <v>270.84683749999999</v>
      </c>
      <c r="AO806" t="s">
        <v>20</v>
      </c>
      <c r="AW806">
        <v>1607074560</v>
      </c>
      <c r="AY806">
        <v>32141491200</v>
      </c>
      <c r="AZ806">
        <v>63772800</v>
      </c>
      <c r="BD806">
        <v>12.48</v>
      </c>
    </row>
    <row r="807" spans="1:56">
      <c r="A807" t="s">
        <v>764</v>
      </c>
      <c r="B807" t="s">
        <v>44</v>
      </c>
      <c r="C807">
        <v>2022</v>
      </c>
      <c r="D807">
        <v>2010</v>
      </c>
      <c r="E807">
        <v>2010</v>
      </c>
      <c r="F807" t="s">
        <v>27</v>
      </c>
      <c r="G807" t="s">
        <v>30</v>
      </c>
      <c r="H807">
        <v>3600</v>
      </c>
      <c r="I807">
        <v>48</v>
      </c>
      <c r="J807" t="s">
        <v>49</v>
      </c>
      <c r="L807" t="s">
        <v>31</v>
      </c>
      <c r="Q807">
        <v>93168390</v>
      </c>
      <c r="S807">
        <v>0.54</v>
      </c>
      <c r="U807">
        <v>20</v>
      </c>
      <c r="AB807" t="s">
        <v>52</v>
      </c>
      <c r="AD807" t="s">
        <v>22</v>
      </c>
      <c r="AF807">
        <v>0.35499999999999998</v>
      </c>
      <c r="AG807">
        <v>172800</v>
      </c>
      <c r="AK807" t="s">
        <v>709</v>
      </c>
      <c r="AL807" t="s">
        <v>597</v>
      </c>
      <c r="AM807">
        <v>183.5233025</v>
      </c>
      <c r="AO807" t="s">
        <v>20</v>
      </c>
      <c r="AW807">
        <v>537373440</v>
      </c>
      <c r="AY807">
        <v>10747468800</v>
      </c>
      <c r="AZ807">
        <v>62196000</v>
      </c>
      <c r="BD807">
        <v>8.67</v>
      </c>
    </row>
    <row r="808" spans="1:56">
      <c r="A808" t="s">
        <v>764</v>
      </c>
      <c r="B808" t="s">
        <v>44</v>
      </c>
      <c r="C808">
        <v>2022</v>
      </c>
      <c r="D808">
        <v>2005</v>
      </c>
      <c r="E808">
        <v>2005</v>
      </c>
      <c r="F808" t="s">
        <v>27</v>
      </c>
      <c r="G808" t="s">
        <v>30</v>
      </c>
      <c r="H808">
        <v>3000</v>
      </c>
      <c r="I808">
        <v>30</v>
      </c>
      <c r="J808" t="s">
        <v>45</v>
      </c>
      <c r="L808" t="s">
        <v>31</v>
      </c>
      <c r="Q808">
        <v>31876670</v>
      </c>
      <c r="S808">
        <v>0.35</v>
      </c>
      <c r="U808">
        <v>20</v>
      </c>
      <c r="AB808" t="s">
        <v>53</v>
      </c>
      <c r="AD808" t="s">
        <v>22</v>
      </c>
      <c r="AF808">
        <v>0.315</v>
      </c>
      <c r="AG808">
        <v>90000</v>
      </c>
      <c r="AK808" t="s">
        <v>709</v>
      </c>
      <c r="AL808" t="s">
        <v>597</v>
      </c>
      <c r="AM808">
        <v>57.6165175</v>
      </c>
      <c r="AO808" t="s">
        <v>20</v>
      </c>
      <c r="AW808">
        <v>248346000</v>
      </c>
      <c r="AY808">
        <v>4966920000</v>
      </c>
      <c r="AZ808">
        <v>55188000</v>
      </c>
      <c r="BD808">
        <v>6.42</v>
      </c>
    </row>
    <row r="809" spans="1:56">
      <c r="A809" t="s">
        <v>764</v>
      </c>
      <c r="B809" t="s">
        <v>44</v>
      </c>
      <c r="C809">
        <v>2022</v>
      </c>
      <c r="D809">
        <v>2013</v>
      </c>
      <c r="E809">
        <v>2013</v>
      </c>
      <c r="F809" t="s">
        <v>27</v>
      </c>
      <c r="G809" t="s">
        <v>30</v>
      </c>
      <c r="H809">
        <v>3600</v>
      </c>
      <c r="I809">
        <v>75</v>
      </c>
      <c r="J809" t="s">
        <v>54</v>
      </c>
      <c r="L809" t="s">
        <v>31</v>
      </c>
      <c r="Q809">
        <v>167354970</v>
      </c>
      <c r="S809">
        <v>0.62</v>
      </c>
      <c r="U809">
        <v>20</v>
      </c>
      <c r="AB809" t="s">
        <v>55</v>
      </c>
      <c r="AD809" t="s">
        <v>22</v>
      </c>
      <c r="AF809">
        <v>0.34200000000000003</v>
      </c>
      <c r="AG809">
        <v>270000</v>
      </c>
      <c r="AK809" t="s">
        <v>709</v>
      </c>
      <c r="AL809" t="s">
        <v>597</v>
      </c>
      <c r="AM809">
        <v>310.36672750000002</v>
      </c>
      <c r="AO809" t="s">
        <v>20</v>
      </c>
      <c r="AW809">
        <v>808898400</v>
      </c>
      <c r="AY809">
        <v>16177968000</v>
      </c>
      <c r="AZ809">
        <v>59918400</v>
      </c>
      <c r="BD809">
        <v>10.34</v>
      </c>
    </row>
    <row r="810" spans="1:56">
      <c r="A810" t="s">
        <v>764</v>
      </c>
      <c r="B810" t="s">
        <v>44</v>
      </c>
      <c r="C810">
        <v>2022</v>
      </c>
      <c r="D810">
        <v>2013</v>
      </c>
      <c r="E810">
        <v>2013</v>
      </c>
      <c r="F810" t="s">
        <v>27</v>
      </c>
      <c r="G810" t="s">
        <v>30</v>
      </c>
      <c r="H810">
        <v>3600</v>
      </c>
      <c r="I810">
        <v>175</v>
      </c>
      <c r="J810" t="s">
        <v>54</v>
      </c>
      <c r="L810" t="s">
        <v>31</v>
      </c>
      <c r="Q810">
        <v>436789000</v>
      </c>
      <c r="S810">
        <v>0.69</v>
      </c>
      <c r="U810">
        <v>20</v>
      </c>
      <c r="AB810" t="s">
        <v>56</v>
      </c>
      <c r="AD810" t="s">
        <v>22</v>
      </c>
      <c r="AF810">
        <v>0.41699999999999998</v>
      </c>
      <c r="AG810">
        <v>630000</v>
      </c>
      <c r="AK810" t="s">
        <v>709</v>
      </c>
      <c r="AL810" t="s">
        <v>597</v>
      </c>
      <c r="AM810">
        <v>310.36672750000002</v>
      </c>
      <c r="AO810" t="s">
        <v>20</v>
      </c>
      <c r="AW810">
        <v>2301339600</v>
      </c>
      <c r="AY810">
        <v>46026792000</v>
      </c>
      <c r="AZ810">
        <v>73058400</v>
      </c>
      <c r="BD810">
        <v>9.49</v>
      </c>
    </row>
    <row r="811" spans="1:56">
      <c r="A811" t="s">
        <v>764</v>
      </c>
      <c r="B811" t="s">
        <v>44</v>
      </c>
      <c r="C811">
        <v>2022</v>
      </c>
      <c r="D811">
        <v>2009</v>
      </c>
      <c r="E811">
        <v>2009</v>
      </c>
      <c r="F811" t="s">
        <v>27</v>
      </c>
      <c r="G811" t="s">
        <v>30</v>
      </c>
      <c r="H811">
        <v>3600</v>
      </c>
      <c r="I811">
        <v>54</v>
      </c>
      <c r="J811" t="s">
        <v>49</v>
      </c>
      <c r="L811" t="s">
        <v>31</v>
      </c>
      <c r="Q811">
        <v>96531260</v>
      </c>
      <c r="S811">
        <v>0.5</v>
      </c>
      <c r="U811">
        <v>20</v>
      </c>
      <c r="AB811" t="s">
        <v>57</v>
      </c>
      <c r="AD811" t="s">
        <v>22</v>
      </c>
      <c r="AF811">
        <v>0.34100000000000003</v>
      </c>
      <c r="AG811">
        <v>194400</v>
      </c>
      <c r="AK811" t="s">
        <v>709</v>
      </c>
      <c r="AL811" t="s">
        <v>597</v>
      </c>
      <c r="AM811">
        <v>151.3704745</v>
      </c>
      <c r="AO811" t="s">
        <v>20</v>
      </c>
      <c r="AW811">
        <v>580703904</v>
      </c>
      <c r="AY811">
        <v>11614078080</v>
      </c>
      <c r="AZ811">
        <v>59743200</v>
      </c>
      <c r="BD811">
        <v>8.31</v>
      </c>
    </row>
    <row r="812" spans="1:56">
      <c r="A812" t="s">
        <v>764</v>
      </c>
      <c r="B812" t="s">
        <v>44</v>
      </c>
      <c r="C812">
        <v>2022</v>
      </c>
      <c r="D812">
        <v>2003</v>
      </c>
      <c r="E812">
        <v>2003</v>
      </c>
      <c r="F812" t="s">
        <v>27</v>
      </c>
      <c r="G812" t="s">
        <v>30</v>
      </c>
      <c r="H812">
        <v>2000</v>
      </c>
      <c r="I812">
        <v>30</v>
      </c>
      <c r="J812" t="s">
        <v>58</v>
      </c>
      <c r="L812" t="s">
        <v>31</v>
      </c>
      <c r="Q812">
        <v>36035270</v>
      </c>
      <c r="S812">
        <v>0.6</v>
      </c>
      <c r="U812">
        <v>20</v>
      </c>
      <c r="AB812" t="s">
        <v>59</v>
      </c>
      <c r="AD812" t="s">
        <v>22</v>
      </c>
      <c r="AF812">
        <v>0.34100000000000003</v>
      </c>
      <c r="AG812">
        <v>60000</v>
      </c>
      <c r="AK812" t="s">
        <v>709</v>
      </c>
      <c r="AL812" t="s">
        <v>597</v>
      </c>
      <c r="AM812">
        <v>38.113542500000001</v>
      </c>
      <c r="AO812" t="s">
        <v>20</v>
      </c>
      <c r="AW812">
        <v>179229600</v>
      </c>
      <c r="AY812">
        <v>3584592000</v>
      </c>
      <c r="AZ812">
        <v>59743200</v>
      </c>
      <c r="BD812">
        <v>10.050000000000001</v>
      </c>
    </row>
    <row r="813" spans="1:56">
      <c r="A813" t="s">
        <v>764</v>
      </c>
      <c r="B813" t="s">
        <v>44</v>
      </c>
      <c r="C813">
        <v>2022</v>
      </c>
      <c r="D813">
        <v>2012</v>
      </c>
      <c r="E813">
        <v>2012</v>
      </c>
      <c r="F813" t="s">
        <v>27</v>
      </c>
      <c r="G813" t="s">
        <v>30</v>
      </c>
      <c r="H813">
        <v>5000</v>
      </c>
      <c r="I813">
        <v>30</v>
      </c>
      <c r="J813" t="s">
        <v>60</v>
      </c>
      <c r="L813" t="s">
        <v>31</v>
      </c>
      <c r="Q813">
        <v>87519710</v>
      </c>
      <c r="S813">
        <v>0.57999999999999996</v>
      </c>
      <c r="U813">
        <v>20</v>
      </c>
      <c r="AB813" t="s">
        <v>61</v>
      </c>
      <c r="AD813" t="s">
        <v>22</v>
      </c>
      <c r="AF813">
        <v>0.39200000000000002</v>
      </c>
      <c r="AG813">
        <v>150000</v>
      </c>
      <c r="AK813" t="s">
        <v>709</v>
      </c>
      <c r="AL813" t="s">
        <v>597</v>
      </c>
      <c r="AM813">
        <v>270.84683749999999</v>
      </c>
      <c r="AO813" t="s">
        <v>20</v>
      </c>
      <c r="AW813">
        <v>515088000</v>
      </c>
      <c r="AY813">
        <v>10301760000</v>
      </c>
      <c r="AZ813">
        <v>68678400</v>
      </c>
      <c r="BD813">
        <v>8.5</v>
      </c>
    </row>
    <row r="814" spans="1:56">
      <c r="A814" t="s">
        <v>764</v>
      </c>
      <c r="B814" t="s">
        <v>44</v>
      </c>
      <c r="C814">
        <v>2022</v>
      </c>
      <c r="D814">
        <v>2009</v>
      </c>
      <c r="E814">
        <v>2009</v>
      </c>
      <c r="F814" t="s">
        <v>27</v>
      </c>
      <c r="G814" t="s">
        <v>30</v>
      </c>
      <c r="H814">
        <v>3600</v>
      </c>
      <c r="I814">
        <v>25</v>
      </c>
      <c r="J814" t="s">
        <v>49</v>
      </c>
      <c r="L814" t="s">
        <v>31</v>
      </c>
      <c r="Q814">
        <v>46889100</v>
      </c>
      <c r="S814">
        <v>0.52</v>
      </c>
      <c r="U814">
        <v>20</v>
      </c>
      <c r="AB814" t="s">
        <v>62</v>
      </c>
      <c r="AD814" t="s">
        <v>22</v>
      </c>
      <c r="AF814">
        <v>0.34200000000000003</v>
      </c>
      <c r="AG814">
        <v>90000</v>
      </c>
      <c r="AK814" t="s">
        <v>709</v>
      </c>
      <c r="AL814" t="s">
        <v>597</v>
      </c>
      <c r="AM814">
        <v>151.3704745</v>
      </c>
      <c r="AO814" t="s">
        <v>20</v>
      </c>
      <c r="AW814">
        <v>269632800</v>
      </c>
      <c r="AY814">
        <v>5392656000</v>
      </c>
      <c r="AZ814">
        <v>59918400</v>
      </c>
      <c r="BD814">
        <v>8.69</v>
      </c>
    </row>
    <row r="815" spans="1:56">
      <c r="A815" t="s">
        <v>764</v>
      </c>
      <c r="B815" t="s">
        <v>44</v>
      </c>
      <c r="C815">
        <v>2022</v>
      </c>
      <c r="D815">
        <v>2010</v>
      </c>
      <c r="E815">
        <v>2010</v>
      </c>
      <c r="F815" t="s">
        <v>27</v>
      </c>
      <c r="G815" t="s">
        <v>30</v>
      </c>
      <c r="H815">
        <v>3000</v>
      </c>
      <c r="I815">
        <v>60</v>
      </c>
      <c r="J815" t="s">
        <v>45</v>
      </c>
      <c r="L815" t="s">
        <v>31</v>
      </c>
      <c r="Q815">
        <v>85195240</v>
      </c>
      <c r="S815">
        <v>0.47</v>
      </c>
      <c r="U815">
        <v>20</v>
      </c>
      <c r="AB815" t="s">
        <v>63</v>
      </c>
      <c r="AD815" t="s">
        <v>22</v>
      </c>
      <c r="AF815">
        <v>0.34799999999999998</v>
      </c>
      <c r="AG815">
        <v>180000</v>
      </c>
      <c r="AK815" t="s">
        <v>709</v>
      </c>
      <c r="AL815" t="s">
        <v>597</v>
      </c>
      <c r="AM815">
        <v>183.5233025</v>
      </c>
      <c r="AO815" t="s">
        <v>20</v>
      </c>
      <c r="AW815">
        <v>548726400</v>
      </c>
      <c r="AY815">
        <v>10974528000</v>
      </c>
      <c r="AZ815">
        <v>60969600</v>
      </c>
      <c r="BD815">
        <v>7.76</v>
      </c>
    </row>
    <row r="816" spans="1:56">
      <c r="A816" t="s">
        <v>764</v>
      </c>
      <c r="B816" t="s">
        <v>44</v>
      </c>
      <c r="C816">
        <v>2022</v>
      </c>
      <c r="D816">
        <v>2004</v>
      </c>
      <c r="E816">
        <v>2004</v>
      </c>
      <c r="F816" t="s">
        <v>27</v>
      </c>
      <c r="G816" t="s">
        <v>30</v>
      </c>
      <c r="H816">
        <v>2000</v>
      </c>
      <c r="I816">
        <v>30</v>
      </c>
      <c r="J816" t="s">
        <v>58</v>
      </c>
      <c r="L816" t="s">
        <v>31</v>
      </c>
      <c r="Q816">
        <v>27209480</v>
      </c>
      <c r="S816">
        <v>0.45</v>
      </c>
      <c r="U816">
        <v>20</v>
      </c>
      <c r="AB816" t="s">
        <v>64</v>
      </c>
      <c r="AD816" t="s">
        <v>22</v>
      </c>
      <c r="AF816">
        <v>0.30599999999999999</v>
      </c>
      <c r="AG816">
        <v>60000</v>
      </c>
      <c r="AK816" t="s">
        <v>709</v>
      </c>
      <c r="AL816" t="s">
        <v>597</v>
      </c>
      <c r="AM816">
        <v>46.3964675</v>
      </c>
      <c r="AO816" t="s">
        <v>20</v>
      </c>
      <c r="AW816">
        <v>160833600</v>
      </c>
      <c r="AY816">
        <v>3216672000</v>
      </c>
      <c r="AZ816">
        <v>53611200</v>
      </c>
      <c r="BD816">
        <v>8.4600000000000009</v>
      </c>
    </row>
    <row r="817" spans="1:57">
      <c r="A817" t="s">
        <v>764</v>
      </c>
      <c r="B817" t="s">
        <v>44</v>
      </c>
      <c r="C817">
        <v>2022</v>
      </c>
      <c r="D817">
        <v>2012</v>
      </c>
      <c r="E817">
        <v>2012</v>
      </c>
      <c r="F817" t="s">
        <v>27</v>
      </c>
      <c r="G817" t="s">
        <v>30</v>
      </c>
      <c r="H817">
        <v>3600</v>
      </c>
      <c r="I817">
        <v>88</v>
      </c>
      <c r="J817" t="s">
        <v>49</v>
      </c>
      <c r="L817" t="s">
        <v>31</v>
      </c>
      <c r="Q817">
        <v>204118110</v>
      </c>
      <c r="S817">
        <v>0.64</v>
      </c>
      <c r="U817">
        <v>20</v>
      </c>
      <c r="AB817" t="s">
        <v>65</v>
      </c>
      <c r="AD817" t="s">
        <v>22</v>
      </c>
      <c r="AF817">
        <v>0.30299999999999999</v>
      </c>
      <c r="AG817">
        <v>316800</v>
      </c>
      <c r="AK817" t="s">
        <v>709</v>
      </c>
      <c r="AL817" t="s">
        <v>597</v>
      </c>
      <c r="AM817">
        <v>270.84683749999999</v>
      </c>
      <c r="AO817" t="s">
        <v>20</v>
      </c>
      <c r="AW817">
        <v>840875904</v>
      </c>
      <c r="AY817">
        <v>16817518080</v>
      </c>
      <c r="AZ817">
        <v>53085600</v>
      </c>
      <c r="BD817">
        <v>12.14</v>
      </c>
    </row>
    <row r="818" spans="1:57">
      <c r="A818" t="s">
        <v>764</v>
      </c>
      <c r="B818" t="s">
        <v>44</v>
      </c>
      <c r="C818">
        <v>2022</v>
      </c>
      <c r="D818">
        <v>2013</v>
      </c>
      <c r="E818">
        <v>2013</v>
      </c>
      <c r="F818" t="s">
        <v>27</v>
      </c>
      <c r="G818" t="s">
        <v>30</v>
      </c>
      <c r="H818">
        <v>2300</v>
      </c>
      <c r="I818">
        <v>27</v>
      </c>
      <c r="J818" t="s">
        <v>66</v>
      </c>
      <c r="L818" t="s">
        <v>31</v>
      </c>
      <c r="Q818">
        <v>40761060</v>
      </c>
      <c r="S818">
        <v>0.66</v>
      </c>
      <c r="U818">
        <v>20</v>
      </c>
      <c r="AB818" t="s">
        <v>67</v>
      </c>
      <c r="AD818" t="s">
        <v>22</v>
      </c>
      <c r="AF818">
        <v>0.314</v>
      </c>
      <c r="AG818">
        <v>62100</v>
      </c>
      <c r="AK818" t="s">
        <v>709</v>
      </c>
      <c r="AL818" t="s">
        <v>597</v>
      </c>
      <c r="AM818">
        <v>310.36672750000002</v>
      </c>
      <c r="AO818" t="s">
        <v>20</v>
      </c>
      <c r="AW818">
        <v>170814744</v>
      </c>
      <c r="AY818">
        <v>3416294880</v>
      </c>
      <c r="AZ818">
        <v>55012800</v>
      </c>
      <c r="BD818">
        <v>11.93</v>
      </c>
    </row>
    <row r="819" spans="1:57">
      <c r="A819" t="s">
        <v>764</v>
      </c>
      <c r="B819" t="s">
        <v>44</v>
      </c>
      <c r="C819">
        <v>2022</v>
      </c>
      <c r="D819">
        <v>2010</v>
      </c>
      <c r="E819">
        <v>2010</v>
      </c>
      <c r="F819" t="s">
        <v>27</v>
      </c>
      <c r="G819" t="s">
        <v>30</v>
      </c>
      <c r="H819">
        <v>3000</v>
      </c>
      <c r="I819">
        <v>100</v>
      </c>
      <c r="J819" t="s">
        <v>45</v>
      </c>
      <c r="L819" t="s">
        <v>31</v>
      </c>
      <c r="Q819">
        <v>161001310</v>
      </c>
      <c r="S819">
        <v>0.54</v>
      </c>
      <c r="U819">
        <v>20</v>
      </c>
      <c r="AB819" t="s">
        <v>68</v>
      </c>
      <c r="AD819" t="s">
        <v>22</v>
      </c>
      <c r="AF819">
        <v>0.308</v>
      </c>
      <c r="AG819">
        <v>300000</v>
      </c>
      <c r="AK819" t="s">
        <v>709</v>
      </c>
      <c r="AL819" t="s">
        <v>597</v>
      </c>
      <c r="AM819">
        <v>183.5233025</v>
      </c>
      <c r="AO819" t="s">
        <v>20</v>
      </c>
      <c r="AW819">
        <v>809424000</v>
      </c>
      <c r="AY819">
        <v>16188480000</v>
      </c>
      <c r="AZ819">
        <v>53961600</v>
      </c>
      <c r="BD819">
        <v>9.9499999999999993</v>
      </c>
    </row>
    <row r="820" spans="1:57">
      <c r="A820" t="s">
        <v>764</v>
      </c>
      <c r="B820" t="s">
        <v>44</v>
      </c>
      <c r="C820">
        <v>2022</v>
      </c>
      <c r="D820">
        <v>2011</v>
      </c>
      <c r="E820">
        <v>2011</v>
      </c>
      <c r="F820" t="s">
        <v>27</v>
      </c>
      <c r="G820" t="s">
        <v>30</v>
      </c>
      <c r="H820">
        <v>3600</v>
      </c>
      <c r="I820">
        <v>51</v>
      </c>
      <c r="J820" t="s">
        <v>49</v>
      </c>
      <c r="L820" t="s">
        <v>31</v>
      </c>
      <c r="Q820">
        <v>132242400</v>
      </c>
      <c r="S820">
        <v>0.72</v>
      </c>
      <c r="U820">
        <v>20</v>
      </c>
      <c r="AB820" t="s">
        <v>69</v>
      </c>
      <c r="AD820" t="s">
        <v>22</v>
      </c>
      <c r="AF820">
        <v>0.40600000000000003</v>
      </c>
      <c r="AG820">
        <v>183600</v>
      </c>
      <c r="AK820" t="s">
        <v>709</v>
      </c>
      <c r="AL820" t="s">
        <v>597</v>
      </c>
      <c r="AM820">
        <v>227.632904</v>
      </c>
      <c r="AO820" t="s">
        <v>20</v>
      </c>
      <c r="AW820">
        <v>652984416</v>
      </c>
      <c r="AY820">
        <v>13059688320</v>
      </c>
      <c r="AZ820">
        <v>71131200</v>
      </c>
      <c r="BD820">
        <v>10.130000000000001</v>
      </c>
    </row>
    <row r="821" spans="1:57">
      <c r="A821" t="s">
        <v>764</v>
      </c>
      <c r="B821" t="s">
        <v>44</v>
      </c>
      <c r="C821">
        <v>2022</v>
      </c>
      <c r="D821">
        <v>2012</v>
      </c>
      <c r="E821">
        <v>2012</v>
      </c>
      <c r="F821" t="s">
        <v>27</v>
      </c>
      <c r="G821" t="s">
        <v>30</v>
      </c>
      <c r="H821">
        <v>3600</v>
      </c>
      <c r="I821">
        <v>51</v>
      </c>
      <c r="J821" t="s">
        <v>54</v>
      </c>
      <c r="L821" t="s">
        <v>31</v>
      </c>
      <c r="Q821">
        <v>151011420</v>
      </c>
      <c r="S821">
        <v>0.82</v>
      </c>
      <c r="U821">
        <v>20</v>
      </c>
      <c r="AB821" t="s">
        <v>70</v>
      </c>
      <c r="AD821" t="s">
        <v>22</v>
      </c>
      <c r="AF821">
        <v>0.44600000000000001</v>
      </c>
      <c r="AG821">
        <v>183600</v>
      </c>
      <c r="AK821" t="s">
        <v>709</v>
      </c>
      <c r="AL821" t="s">
        <v>597</v>
      </c>
      <c r="AM821">
        <v>270.84683749999999</v>
      </c>
      <c r="AO821" t="s">
        <v>20</v>
      </c>
      <c r="AW821">
        <v>717317856</v>
      </c>
      <c r="AY821">
        <v>14346357120</v>
      </c>
      <c r="AZ821">
        <v>78139200</v>
      </c>
      <c r="BD821">
        <v>10.53</v>
      </c>
    </row>
    <row r="822" spans="1:57">
      <c r="A822" t="s">
        <v>764</v>
      </c>
      <c r="B822" t="s">
        <v>44</v>
      </c>
      <c r="C822">
        <v>2022</v>
      </c>
      <c r="D822">
        <v>2014</v>
      </c>
      <c r="E822">
        <v>2014</v>
      </c>
      <c r="F822" t="s">
        <v>27</v>
      </c>
      <c r="G822" t="s">
        <v>30</v>
      </c>
      <c r="H822">
        <v>3600</v>
      </c>
      <c r="I822">
        <v>108</v>
      </c>
      <c r="J822" t="s">
        <v>54</v>
      </c>
      <c r="L822" t="s">
        <v>31</v>
      </c>
      <c r="Q822">
        <v>286820970</v>
      </c>
      <c r="S822">
        <v>0.74</v>
      </c>
      <c r="U822">
        <v>20</v>
      </c>
      <c r="AB822" t="s">
        <v>71</v>
      </c>
      <c r="AD822" t="s">
        <v>22</v>
      </c>
      <c r="AF822">
        <v>0.41399999999999998</v>
      </c>
      <c r="AG822">
        <v>388800</v>
      </c>
      <c r="AK822" t="s">
        <v>709</v>
      </c>
      <c r="AL822" t="s">
        <v>597</v>
      </c>
      <c r="AM822">
        <v>360.68525</v>
      </c>
      <c r="AO822" t="s">
        <v>20</v>
      </c>
      <c r="AW822">
        <v>1410037632</v>
      </c>
      <c r="AY822">
        <v>28200752640</v>
      </c>
      <c r="AZ822">
        <v>72532800</v>
      </c>
      <c r="BD822">
        <v>10.17</v>
      </c>
    </row>
    <row r="823" spans="1:57">
      <c r="A823" t="s">
        <v>738</v>
      </c>
      <c r="B823" t="s">
        <v>223</v>
      </c>
      <c r="C823">
        <v>2022</v>
      </c>
      <c r="E823">
        <v>2022</v>
      </c>
      <c r="F823" t="s">
        <v>27</v>
      </c>
      <c r="G823" t="s">
        <v>224</v>
      </c>
      <c r="J823" t="s">
        <v>225</v>
      </c>
      <c r="L823" t="s">
        <v>24</v>
      </c>
      <c r="N823">
        <v>4.38</v>
      </c>
      <c r="S823">
        <v>0.35</v>
      </c>
      <c r="AD823" t="s">
        <v>33</v>
      </c>
      <c r="AK823" t="s">
        <v>709</v>
      </c>
      <c r="AL823" t="s">
        <v>597</v>
      </c>
      <c r="AM823">
        <v>741.39724999999999</v>
      </c>
    </row>
    <row r="824" spans="1:57">
      <c r="A824" t="s">
        <v>738</v>
      </c>
      <c r="B824" t="s">
        <v>223</v>
      </c>
      <c r="C824">
        <v>2022</v>
      </c>
      <c r="E824">
        <v>2022</v>
      </c>
      <c r="F824" t="s">
        <v>27</v>
      </c>
      <c r="G824" t="s">
        <v>224</v>
      </c>
      <c r="J824" t="s">
        <v>226</v>
      </c>
      <c r="L824" t="s">
        <v>24</v>
      </c>
      <c r="N824">
        <v>4.17</v>
      </c>
      <c r="S824">
        <v>0.33</v>
      </c>
      <c r="AD824" t="s">
        <v>33</v>
      </c>
      <c r="AK824" t="s">
        <v>709</v>
      </c>
      <c r="AL824" t="s">
        <v>597</v>
      </c>
      <c r="AM824">
        <v>741.39724999999999</v>
      </c>
    </row>
    <row r="825" spans="1:57">
      <c r="A825" t="s">
        <v>738</v>
      </c>
      <c r="B825" t="s">
        <v>223</v>
      </c>
      <c r="C825">
        <v>2022</v>
      </c>
      <c r="E825">
        <v>2022</v>
      </c>
      <c r="F825" t="s">
        <v>27</v>
      </c>
      <c r="G825" t="s">
        <v>224</v>
      </c>
      <c r="J825" t="s">
        <v>227</v>
      </c>
      <c r="L825" t="s">
        <v>24</v>
      </c>
      <c r="N825">
        <v>4.0599999999999996</v>
      </c>
      <c r="S825">
        <v>0.33</v>
      </c>
      <c r="AD825" t="s">
        <v>33</v>
      </c>
      <c r="AK825" t="s">
        <v>709</v>
      </c>
      <c r="AL825" t="s">
        <v>597</v>
      </c>
      <c r="AM825">
        <v>741.39724999999999</v>
      </c>
    </row>
    <row r="826" spans="1:57">
      <c r="A826" t="s">
        <v>738</v>
      </c>
      <c r="B826" t="s">
        <v>223</v>
      </c>
      <c r="C826">
        <v>2022</v>
      </c>
      <c r="E826">
        <v>2022</v>
      </c>
      <c r="F826" t="s">
        <v>27</v>
      </c>
      <c r="G826" t="s">
        <v>224</v>
      </c>
      <c r="J826" t="s">
        <v>228</v>
      </c>
      <c r="L826" t="s">
        <v>24</v>
      </c>
      <c r="N826">
        <v>3.96</v>
      </c>
      <c r="S826">
        <v>0.32</v>
      </c>
      <c r="AD826" t="s">
        <v>33</v>
      </c>
      <c r="AK826" t="s">
        <v>709</v>
      </c>
      <c r="AL826" t="s">
        <v>597</v>
      </c>
      <c r="AM826">
        <v>741.39724999999999</v>
      </c>
    </row>
    <row r="827" spans="1:57">
      <c r="A827" t="s">
        <v>728</v>
      </c>
      <c r="B827" t="s">
        <v>273</v>
      </c>
      <c r="C827">
        <v>2022</v>
      </c>
      <c r="E827">
        <v>2022</v>
      </c>
      <c r="F827" t="s">
        <v>27</v>
      </c>
      <c r="G827" t="s">
        <v>30</v>
      </c>
      <c r="H827">
        <v>6000</v>
      </c>
      <c r="I827">
        <v>5</v>
      </c>
      <c r="J827" t="s">
        <v>274</v>
      </c>
      <c r="L827" t="s">
        <v>31</v>
      </c>
      <c r="N827">
        <v>58.32</v>
      </c>
      <c r="P827">
        <v>16.2</v>
      </c>
      <c r="Q827">
        <v>127569821</v>
      </c>
      <c r="R827">
        <v>13136518</v>
      </c>
      <c r="S827">
        <v>4.25</v>
      </c>
      <c r="T827">
        <v>0.44</v>
      </c>
      <c r="U827">
        <v>25</v>
      </c>
      <c r="Z827">
        <v>0.53</v>
      </c>
      <c r="AB827" t="s">
        <v>275</v>
      </c>
      <c r="AD827" t="s">
        <v>33</v>
      </c>
      <c r="AF827">
        <v>0.498</v>
      </c>
      <c r="AG827">
        <v>30000</v>
      </c>
      <c r="AH827">
        <v>1749725291</v>
      </c>
      <c r="AK827" t="s">
        <v>709</v>
      </c>
      <c r="AL827" t="s">
        <v>597</v>
      </c>
      <c r="AM827">
        <v>741.39724999999999</v>
      </c>
      <c r="AO827" t="s">
        <v>20</v>
      </c>
      <c r="AP827">
        <v>240072727</v>
      </c>
      <c r="AQ827">
        <v>486034803</v>
      </c>
      <c r="AR827">
        <v>66686869</v>
      </c>
      <c r="AS827">
        <v>145810440.90000001</v>
      </c>
      <c r="AT827">
        <v>20006060.600000001</v>
      </c>
      <c r="AU827">
        <v>0.04</v>
      </c>
      <c r="AW827">
        <v>130874400</v>
      </c>
      <c r="AY827">
        <v>3271860000</v>
      </c>
      <c r="AZ827">
        <v>109062000</v>
      </c>
      <c r="BA827">
        <v>7.0000000000000007E-2</v>
      </c>
      <c r="BB827">
        <v>0.15</v>
      </c>
      <c r="BC827">
        <v>0.02</v>
      </c>
      <c r="BD827">
        <v>38.99</v>
      </c>
      <c r="BE827">
        <v>4.0199999999999996</v>
      </c>
    </row>
    <row r="828" spans="1:57">
      <c r="A828" t="s">
        <v>728</v>
      </c>
      <c r="B828" t="s">
        <v>273</v>
      </c>
      <c r="C828">
        <v>2022</v>
      </c>
      <c r="E828">
        <v>2022</v>
      </c>
      <c r="F828" t="s">
        <v>27</v>
      </c>
      <c r="G828" t="s">
        <v>30</v>
      </c>
      <c r="H828">
        <v>9500</v>
      </c>
      <c r="I828">
        <v>5</v>
      </c>
      <c r="J828" t="s">
        <v>276</v>
      </c>
      <c r="L828" t="s">
        <v>31</v>
      </c>
      <c r="N828">
        <v>40.200000000000003</v>
      </c>
      <c r="P828">
        <v>11.17</v>
      </c>
      <c r="Q828">
        <v>140331701</v>
      </c>
      <c r="R828">
        <v>13053629</v>
      </c>
      <c r="S828">
        <v>2.95</v>
      </c>
      <c r="T828">
        <v>0.27</v>
      </c>
      <c r="U828">
        <v>25</v>
      </c>
      <c r="Z828">
        <v>0.46</v>
      </c>
      <c r="AB828" t="s">
        <v>277</v>
      </c>
      <c r="AD828" t="s">
        <v>33</v>
      </c>
      <c r="AF828">
        <v>0.39900000000000002</v>
      </c>
      <c r="AG828">
        <v>47500</v>
      </c>
      <c r="AH828">
        <v>1909689910</v>
      </c>
      <c r="AK828" t="s">
        <v>709</v>
      </c>
      <c r="AL828" t="s">
        <v>597</v>
      </c>
      <c r="AM828">
        <v>741.39724999999999</v>
      </c>
      <c r="AO828" t="s">
        <v>20</v>
      </c>
      <c r="AP828">
        <v>265368451</v>
      </c>
      <c r="AQ828">
        <v>530469419</v>
      </c>
      <c r="AR828">
        <v>73713459</v>
      </c>
      <c r="AS828">
        <v>159140825.80000001</v>
      </c>
      <c r="AT828">
        <v>22114037.600000001</v>
      </c>
      <c r="AU828">
        <v>0.04</v>
      </c>
      <c r="AW828">
        <v>166023900</v>
      </c>
      <c r="AY828">
        <v>4150597500</v>
      </c>
      <c r="AZ828">
        <v>87381000</v>
      </c>
      <c r="BA828">
        <v>0.06</v>
      </c>
      <c r="BB828">
        <v>0.13</v>
      </c>
      <c r="BC828">
        <v>0.02</v>
      </c>
      <c r="BD828">
        <v>33.81</v>
      </c>
      <c r="BE828">
        <v>3.15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 - Kubizweski (2010)</vt:lpstr>
      <vt:lpstr>Data - Dale (2012)</vt:lpstr>
      <vt:lpstr>Data - NREL (2014)</vt:lpstr>
      <vt:lpstr>Data - Carbajales-Dale (2016)</vt:lpstr>
      <vt:lpstr>Data - Mendecka (2019)</vt:lpstr>
      <vt:lpstr>Data - Carbajales-Dale (2022)</vt:lpstr>
      <vt:lpstr>Total_wind_installed_capacity</vt:lpstr>
      <vt:lpstr>All_data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2022-04-27T21:00:17Z</dcterms:created>
  <dcterms:modified xsi:type="dcterms:W3CDTF">2022-05-12T01:48:25Z</dcterms:modified>
</cp:coreProperties>
</file>